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tabRatio="847"/>
  </bookViews>
  <sheets>
    <sheet name="2025-presupuesto" sheetId="1" r:id="rId1"/>
    <sheet name="Hoja1" sheetId="9" state="hidden" r:id="rId2"/>
    <sheet name="2021-códigos" sheetId="7" r:id="rId3"/>
    <sheet name="00" sheetId="8" r:id="rId4"/>
  </sheets>
  <externalReferences>
    <externalReference r:id="rId5"/>
  </externalReferences>
  <definedNames>
    <definedName name="_xlnm.Print_Area" localSheetId="0">'2025-presupuesto'!$C$4:$T$260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145" i="1" l="1"/>
  <c r="T145" i="1" s="1"/>
  <c r="R133" i="1"/>
  <c r="G14" i="1"/>
  <c r="T14" i="1"/>
  <c r="I219" i="1" l="1"/>
  <c r="I205" i="1"/>
  <c r="I197" i="1"/>
  <c r="I198" i="1"/>
  <c r="I199" i="1"/>
  <c r="I196" i="1"/>
  <c r="I193" i="1"/>
  <c r="I188" i="1"/>
  <c r="I189" i="1"/>
  <c r="I190" i="1"/>
  <c r="I191" i="1"/>
  <c r="I187" i="1"/>
  <c r="I177" i="1"/>
  <c r="H118" i="1"/>
  <c r="G118" i="1"/>
  <c r="I69" i="1"/>
  <c r="H68" i="1"/>
  <c r="H64" i="1"/>
  <c r="I146" i="1"/>
  <c r="I145" i="1" s="1"/>
  <c r="I140" i="1"/>
  <c r="I141" i="1"/>
  <c r="I142" i="1"/>
  <c r="I143" i="1"/>
  <c r="I139" i="1"/>
  <c r="I119" i="1"/>
  <c r="I118" i="1" s="1"/>
  <c r="I115" i="1"/>
  <c r="I116" i="1"/>
  <c r="I114" i="1"/>
  <c r="I102" i="1"/>
  <c r="I103" i="1"/>
  <c r="I104" i="1"/>
  <c r="I105" i="1"/>
  <c r="I106" i="1"/>
  <c r="I107" i="1"/>
  <c r="I108" i="1"/>
  <c r="I109" i="1"/>
  <c r="I101" i="1"/>
  <c r="G84" i="1"/>
  <c r="I89" i="1"/>
  <c r="I90" i="1"/>
  <c r="I91" i="1"/>
  <c r="I92" i="1"/>
  <c r="I93" i="1"/>
  <c r="I94" i="1"/>
  <c r="I95" i="1"/>
  <c r="I96" i="1"/>
  <c r="I97" i="1"/>
  <c r="I98" i="1"/>
  <c r="I88" i="1"/>
  <c r="I85" i="1"/>
  <c r="I84" i="1" s="1"/>
  <c r="I81" i="1"/>
  <c r="I82" i="1"/>
  <c r="I80" i="1"/>
  <c r="I70" i="1"/>
  <c r="I68" i="1" s="1"/>
  <c r="I66" i="1"/>
  <c r="I65" i="1"/>
  <c r="I59" i="1"/>
  <c r="I60" i="1"/>
  <c r="I61" i="1"/>
  <c r="I62" i="1"/>
  <c r="I58" i="1"/>
  <c r="I48" i="1"/>
  <c r="I49" i="1"/>
  <c r="I50" i="1"/>
  <c r="I51" i="1"/>
  <c r="I52" i="1"/>
  <c r="I53" i="1"/>
  <c r="I47" i="1"/>
  <c r="I32" i="1"/>
  <c r="I33" i="1"/>
  <c r="I34" i="1"/>
  <c r="I31" i="1"/>
  <c r="I28" i="1"/>
  <c r="I27" i="1"/>
  <c r="I21" i="1"/>
  <c r="I18" i="1"/>
  <c r="S216" i="1"/>
  <c r="T216" i="1"/>
  <c r="R216" i="1"/>
  <c r="T203" i="1"/>
  <c r="R203" i="1"/>
  <c r="T141" i="1"/>
  <c r="T146" i="1"/>
  <c r="T102" i="1"/>
  <c r="T103" i="1"/>
  <c r="T104" i="1"/>
  <c r="T105" i="1"/>
  <c r="T106" i="1"/>
  <c r="T107" i="1"/>
  <c r="T108" i="1"/>
  <c r="T109" i="1"/>
  <c r="T101" i="1"/>
  <c r="S100" i="1"/>
  <c r="R68" i="1"/>
  <c r="R100" i="1"/>
  <c r="T115" i="1"/>
  <c r="T116" i="1"/>
  <c r="T114" i="1"/>
  <c r="T89" i="1"/>
  <c r="T90" i="1"/>
  <c r="T91" i="1"/>
  <c r="T92" i="1"/>
  <c r="T93" i="1"/>
  <c r="T94" i="1"/>
  <c r="T95" i="1"/>
  <c r="T96" i="1"/>
  <c r="T97" i="1"/>
  <c r="T98" i="1"/>
  <c r="T88" i="1"/>
  <c r="S79" i="1"/>
  <c r="T79" i="1"/>
  <c r="R79" i="1"/>
  <c r="T70" i="1"/>
  <c r="T68" i="1" s="1"/>
  <c r="T52" i="1"/>
  <c r="G186" i="1"/>
  <c r="G195" i="1"/>
  <c r="I229" i="1"/>
  <c r="G145" i="1"/>
  <c r="G113" i="1"/>
  <c r="G79" i="1"/>
  <c r="G57" i="1"/>
  <c r="G45" i="1"/>
  <c r="G30" i="1"/>
  <c r="G26" i="1"/>
  <c r="G64" i="1"/>
  <c r="G68" i="1"/>
  <c r="H12" i="1"/>
  <c r="S12" i="1"/>
  <c r="L14" i="1"/>
  <c r="R14" i="1"/>
  <c r="I15" i="1"/>
  <c r="I14" i="1" s="1"/>
  <c r="Q15" i="1" a="1"/>
  <c r="I79" i="1" l="1"/>
  <c r="I195" i="1"/>
  <c r="I64" i="1"/>
  <c r="I30" i="1"/>
  <c r="I57" i="1"/>
  <c r="I26" i="1"/>
  <c r="G100" i="1"/>
  <c r="T100" i="1"/>
  <c r="Q15" i="1"/>
  <c r="K15" i="1" s="1"/>
  <c r="G17" i="1"/>
  <c r="I17" i="1"/>
  <c r="L17" i="1"/>
  <c r="R17" i="1"/>
  <c r="T17" i="1"/>
  <c r="Q18" i="1" a="1"/>
  <c r="I24" i="1" l="1"/>
  <c r="K14" i="1"/>
  <c r="M15" i="1"/>
  <c r="Q18" i="1"/>
  <c r="K18" i="1" s="1"/>
  <c r="G20" i="1"/>
  <c r="G12" i="1" s="1"/>
  <c r="I20" i="1"/>
  <c r="I12" i="1" s="1"/>
  <c r="L20" i="1"/>
  <c r="L12" i="1" s="1"/>
  <c r="R20" i="1"/>
  <c r="R12" i="1" s="1"/>
  <c r="T20" i="1"/>
  <c r="T12" i="1" s="1"/>
  <c r="Q21" i="1" a="1"/>
  <c r="M14" i="1" l="1"/>
  <c r="O14" i="1" s="1"/>
  <c r="O15" i="1"/>
  <c r="K17" i="1"/>
  <c r="M17" i="1" s="1"/>
  <c r="O17" i="1" s="1"/>
  <c r="M18" i="1"/>
  <c r="O18" i="1" s="1"/>
  <c r="Q21" i="1"/>
  <c r="K21" i="1" s="1"/>
  <c r="H26" i="1"/>
  <c r="R26" i="1"/>
  <c r="S26" i="1"/>
  <c r="T26" i="1"/>
  <c r="K20" i="1" l="1"/>
  <c r="M21" i="1"/>
  <c r="O21" i="1" s="1"/>
  <c r="G24" i="1"/>
  <c r="G10" i="1" s="1"/>
  <c r="G227" i="1" s="1"/>
  <c r="H30" i="1"/>
  <c r="H24" i="1" s="1"/>
  <c r="I10" i="1"/>
  <c r="L30" i="1"/>
  <c r="R30" i="1"/>
  <c r="R24" i="1" s="1"/>
  <c r="S30" i="1"/>
  <c r="S24" i="1" s="1"/>
  <c r="T30" i="1"/>
  <c r="T24" i="1" s="1"/>
  <c r="K31" i="1"/>
  <c r="Q32" i="1" a="1"/>
  <c r="K12" i="1" l="1"/>
  <c r="M20" i="1"/>
  <c r="O20" i="1" s="1"/>
  <c r="L28" i="1"/>
  <c r="Q32" i="1"/>
  <c r="K32" i="1" s="1"/>
  <c r="M32" i="1" s="1"/>
  <c r="O32" i="1" s="1"/>
  <c r="K33" i="1"/>
  <c r="K34" i="1"/>
  <c r="M34" i="1" s="1"/>
  <c r="G176" i="1"/>
  <c r="I176" i="1"/>
  <c r="G216" i="1"/>
  <c r="G247" i="1" s="1"/>
  <c r="G203" i="1"/>
  <c r="G245" i="1" s="1"/>
  <c r="I216" i="1"/>
  <c r="I247" i="1" s="1"/>
  <c r="I203" i="1"/>
  <c r="I245" i="1" s="1"/>
  <c r="S249" i="1"/>
  <c r="S235" i="1"/>
  <c r="S257" i="1" s="1"/>
  <c r="S260" i="1" s="1"/>
  <c r="T210" i="1"/>
  <c r="R210" i="1"/>
  <c r="T174" i="1"/>
  <c r="S174" i="1"/>
  <c r="R174" i="1"/>
  <c r="T142" i="1"/>
  <c r="T140" i="1"/>
  <c r="S138" i="1"/>
  <c r="S136" i="1" s="1"/>
  <c r="T134" i="1"/>
  <c r="T133" i="1" s="1"/>
  <c r="T113" i="1"/>
  <c r="T111" i="1" s="1"/>
  <c r="S113" i="1"/>
  <c r="S111" i="1" s="1"/>
  <c r="R113" i="1"/>
  <c r="R111" i="1" s="1"/>
  <c r="T87" i="1"/>
  <c r="S87" i="1"/>
  <c r="R87" i="1"/>
  <c r="T57" i="1"/>
  <c r="S57" i="1"/>
  <c r="R57" i="1"/>
  <c r="T50" i="1"/>
  <c r="T45" i="1" s="1"/>
  <c r="S45" i="1"/>
  <c r="R45" i="1"/>
  <c r="K10" i="1" l="1"/>
  <c r="M12" i="1"/>
  <c r="O12" i="1" s="1"/>
  <c r="K30" i="1"/>
  <c r="M30" i="1" s="1"/>
  <c r="O30" i="1" s="1"/>
  <c r="L27" i="1"/>
  <c r="S55" i="1"/>
  <c r="R138" i="1"/>
  <c r="R136" i="1" s="1"/>
  <c r="R55" i="1"/>
  <c r="R43" i="1" s="1"/>
  <c r="S180" i="1"/>
  <c r="T138" i="1"/>
  <c r="T136" i="1" s="1"/>
  <c r="T180" i="1"/>
  <c r="T55" i="1"/>
  <c r="T43" i="1" s="1"/>
  <c r="R180" i="1"/>
  <c r="L26" i="1" l="1"/>
  <c r="R235" i="1"/>
  <c r="R257" i="1" s="1"/>
  <c r="R249" i="1"/>
  <c r="L24" i="1" l="1"/>
  <c r="T235" i="1"/>
  <c r="T257" i="1" s="1"/>
  <c r="R258" i="1"/>
  <c r="T249" i="1"/>
  <c r="T258" i="1" s="1"/>
  <c r="L10" i="1" l="1"/>
  <c r="M10" i="1" s="1"/>
  <c r="O10" i="1" s="1"/>
  <c r="T260" i="1"/>
  <c r="I232" i="1" l="1"/>
  <c r="I233" i="1"/>
  <c r="I184" i="1"/>
  <c r="I182" i="1" s="1"/>
  <c r="H182" i="1"/>
  <c r="H186" i="1"/>
  <c r="I186" i="1"/>
  <c r="H113" i="1"/>
  <c r="H111" i="1" s="1"/>
  <c r="I113" i="1"/>
  <c r="I111" i="1" s="1"/>
  <c r="G111" i="1"/>
  <c r="H100" i="1"/>
  <c r="I100" i="1"/>
  <c r="G87" i="1"/>
  <c r="G55" i="1" s="1"/>
  <c r="H87" i="1"/>
  <c r="I87" i="1"/>
  <c r="H57" i="1"/>
  <c r="H138" i="1"/>
  <c r="G138" i="1"/>
  <c r="I45" i="1"/>
  <c r="H45" i="1"/>
  <c r="G43" i="1" l="1"/>
  <c r="G228" i="1" s="1"/>
  <c r="H55" i="1"/>
  <c r="G182" i="1"/>
  <c r="I55" i="1"/>
  <c r="I210" i="1" l="1"/>
  <c r="I246" i="1" s="1"/>
  <c r="G210" i="1"/>
  <c r="G246" i="1" s="1"/>
  <c r="H231" i="1"/>
  <c r="I138" i="1"/>
  <c r="K197" i="1" l="1"/>
  <c r="K53" i="1" l="1"/>
  <c r="K51" i="1"/>
  <c r="K49" i="1"/>
  <c r="M2" i="1"/>
  <c r="M197" i="1"/>
  <c r="L186" i="1"/>
  <c r="Q143" i="1" a="1"/>
  <c r="Q58" i="1" a="1"/>
  <c r="Q146" i="1" a="1"/>
  <c r="Q95" i="1" a="1"/>
  <c r="Q65" i="1" a="1"/>
  <c r="Q97" i="1" a="1"/>
  <c r="Q115" i="1" a="1"/>
  <c r="Q101" i="1" a="1"/>
  <c r="Q208" i="1" a="1"/>
  <c r="Q80" i="1" a="1"/>
  <c r="Q93" i="1" a="1"/>
  <c r="Q85" i="1" a="1"/>
  <c r="Q190" i="1" a="1"/>
  <c r="Q62" i="1" a="1"/>
  <c r="Q69" i="1" a="1"/>
  <c r="Q66" i="1" a="1"/>
  <c r="Q198" i="1" a="1"/>
  <c r="Q47" i="1" a="1"/>
  <c r="Q104" i="1" a="1"/>
  <c r="Q141" i="1" a="1"/>
  <c r="Q196" i="1" a="1"/>
  <c r="Q189" i="1" a="1"/>
  <c r="Q90" i="1" a="1"/>
  <c r="Q191" i="1" a="1"/>
  <c r="Q50" i="1" a="1"/>
  <c r="Q193" i="1" a="1"/>
  <c r="Q188" i="1" a="1"/>
  <c r="Q91" i="1" a="1"/>
  <c r="Q106" i="1" a="1"/>
  <c r="Q119" i="1" a="1"/>
  <c r="Q70" i="1" a="1"/>
  <c r="Q92" i="1" a="1"/>
  <c r="Q88" i="1" a="1"/>
  <c r="Q134" i="1" a="1"/>
  <c r="Q177" i="1" a="1"/>
  <c r="Q107" i="1" a="1"/>
  <c r="Q52" i="1" a="1"/>
  <c r="Q81" i="1" a="1"/>
  <c r="Q184" i="1" a="1"/>
  <c r="Q103" i="1" a="1"/>
  <c r="Q48" i="1" a="1"/>
  <c r="Q105" i="1" a="1"/>
  <c r="Q199" i="1" a="1"/>
  <c r="Q114" i="1" a="1"/>
  <c r="Q140" i="1" a="1"/>
  <c r="Q187" i="1" a="1"/>
  <c r="Q96" i="1" a="1"/>
  <c r="Q142" i="1" a="1"/>
  <c r="Q27" i="1" a="1"/>
  <c r="Q27" i="1" l="1"/>
  <c r="K27" i="1" s="1"/>
  <c r="Q28" i="1"/>
  <c r="K28" i="1" s="1"/>
  <c r="M28" i="1" s="1"/>
  <c r="O28" i="1" s="1"/>
  <c r="Q107" i="1"/>
  <c r="K107" i="1" s="1"/>
  <c r="Q190" i="1"/>
  <c r="K190" i="1" s="1"/>
  <c r="M190" i="1" s="1"/>
  <c r="O190" i="1" s="1"/>
  <c r="Q199" i="1"/>
  <c r="K199" i="1" s="1"/>
  <c r="M199" i="1" s="1"/>
  <c r="O199" i="1" s="1"/>
  <c r="Q146" i="1"/>
  <c r="K146" i="1" s="1"/>
  <c r="M146" i="1" s="1"/>
  <c r="O146" i="1" s="1"/>
  <c r="Q141" i="1"/>
  <c r="K141" i="1" s="1"/>
  <c r="M141" i="1" s="1"/>
  <c r="O141" i="1" s="1"/>
  <c r="Q142" i="1"/>
  <c r="Q95" i="1"/>
  <c r="K95" i="1" s="1"/>
  <c r="M95" i="1" s="1"/>
  <c r="O95" i="1" s="1"/>
  <c r="Q104" i="1"/>
  <c r="K104" i="1" s="1"/>
  <c r="M104" i="1" s="1"/>
  <c r="O104" i="1" s="1"/>
  <c r="Q96" i="1"/>
  <c r="K96" i="1" s="1"/>
  <c r="Q47" i="1"/>
  <c r="K47" i="1" s="1"/>
  <c r="M47" i="1" s="1"/>
  <c r="O47" i="1" s="1"/>
  <c r="Q119" i="1"/>
  <c r="K119" i="1" s="1"/>
  <c r="M119" i="1" s="1"/>
  <c r="O119" i="1" s="1"/>
  <c r="Q93" i="1"/>
  <c r="K93" i="1" s="1"/>
  <c r="M93" i="1" s="1"/>
  <c r="O93" i="1" s="1"/>
  <c r="Q81" i="1"/>
  <c r="K81" i="1" s="1"/>
  <c r="Q80" i="1"/>
  <c r="K80" i="1" s="1"/>
  <c r="M80" i="1" s="1"/>
  <c r="O80" i="1" s="1"/>
  <c r="Q50" i="1"/>
  <c r="K50" i="1" s="1"/>
  <c r="K108" i="1"/>
  <c r="Q208" i="1"/>
  <c r="K208" i="1" s="1"/>
  <c r="Q189" i="1"/>
  <c r="K189" i="1" s="1"/>
  <c r="M189" i="1" s="1"/>
  <c r="O189" i="1" s="1"/>
  <c r="Q198" i="1"/>
  <c r="K198" i="1" s="1"/>
  <c r="M198" i="1" s="1"/>
  <c r="O198" i="1" s="1"/>
  <c r="Q106" i="1"/>
  <c r="K106" i="1" s="1"/>
  <c r="M106" i="1" s="1"/>
  <c r="O106" i="1" s="1"/>
  <c r="Q92" i="1"/>
  <c r="K92" i="1" s="1"/>
  <c r="M92" i="1" s="1"/>
  <c r="O92" i="1" s="1"/>
  <c r="Q105" i="1"/>
  <c r="K105" i="1" s="1"/>
  <c r="M105" i="1" s="1"/>
  <c r="O105" i="1" s="1"/>
  <c r="Q196" i="1"/>
  <c r="Q193" i="1"/>
  <c r="K193" i="1" s="1"/>
  <c r="M193" i="1" s="1"/>
  <c r="O193" i="1" s="1"/>
  <c r="Q191" i="1"/>
  <c r="Q188" i="1"/>
  <c r="K188" i="1" s="1"/>
  <c r="M188" i="1" s="1"/>
  <c r="O188" i="1" s="1"/>
  <c r="Q187" i="1"/>
  <c r="K187" i="1" s="1"/>
  <c r="M187" i="1" s="1"/>
  <c r="Q184" i="1"/>
  <c r="K184" i="1" s="1"/>
  <c r="M184" i="1" s="1"/>
  <c r="O184" i="1" s="1"/>
  <c r="Q177" i="1"/>
  <c r="K177" i="1" s="1"/>
  <c r="K176" i="1" s="1"/>
  <c r="K174" i="1" s="1"/>
  <c r="K242" i="1" s="1"/>
  <c r="Q143" i="1"/>
  <c r="Q140" i="1"/>
  <c r="K140" i="1" s="1"/>
  <c r="M140" i="1" s="1"/>
  <c r="Q134" i="1"/>
  <c r="K134" i="1" s="1"/>
  <c r="M134" i="1" s="1"/>
  <c r="Q115" i="1"/>
  <c r="Q114" i="1"/>
  <c r="K114" i="1" s="1"/>
  <c r="M114" i="1" s="1"/>
  <c r="O114" i="1" s="1"/>
  <c r="Q48" i="1"/>
  <c r="K48" i="1" s="1"/>
  <c r="Q103" i="1"/>
  <c r="K103" i="1" s="1"/>
  <c r="M103" i="1" s="1"/>
  <c r="O103" i="1" s="1"/>
  <c r="Q101" i="1"/>
  <c r="K101" i="1" s="1"/>
  <c r="M101" i="1" s="1"/>
  <c r="O101" i="1" s="1"/>
  <c r="Q97" i="1"/>
  <c r="K97" i="1" s="1"/>
  <c r="M97" i="1" s="1"/>
  <c r="O97" i="1" s="1"/>
  <c r="Q91" i="1"/>
  <c r="K91" i="1" s="1"/>
  <c r="M91" i="1" s="1"/>
  <c r="O91" i="1" s="1"/>
  <c r="Q90" i="1"/>
  <c r="K90" i="1" s="1"/>
  <c r="M90" i="1" s="1"/>
  <c r="O90" i="1" s="1"/>
  <c r="Q88" i="1"/>
  <c r="K88" i="1" s="1"/>
  <c r="M88" i="1" s="1"/>
  <c r="O88" i="1" s="1"/>
  <c r="Q85" i="1"/>
  <c r="K85" i="1" s="1"/>
  <c r="M85" i="1" s="1"/>
  <c r="O85" i="1" s="1"/>
  <c r="Q70" i="1"/>
  <c r="K70" i="1" s="1"/>
  <c r="Q69" i="1"/>
  <c r="K69" i="1" s="1"/>
  <c r="M69" i="1" s="1"/>
  <c r="O69" i="1" s="1"/>
  <c r="Q66" i="1"/>
  <c r="K66" i="1" s="1"/>
  <c r="M66" i="1" s="1"/>
  <c r="O66" i="1" s="1"/>
  <c r="Q65" i="1"/>
  <c r="Q62" i="1"/>
  <c r="K62" i="1" s="1"/>
  <c r="Q58" i="1"/>
  <c r="K58" i="1" s="1"/>
  <c r="M58" i="1" s="1"/>
  <c r="O58" i="1" s="1"/>
  <c r="Q52" i="1"/>
  <c r="K52" i="1" s="1"/>
  <c r="H249" i="1"/>
  <c r="H235" i="1"/>
  <c r="H257" i="1" s="1"/>
  <c r="I180" i="1"/>
  <c r="H180" i="1"/>
  <c r="G180" i="1"/>
  <c r="G243" i="1" s="1"/>
  <c r="I243" i="1" s="1"/>
  <c r="I174" i="1"/>
  <c r="H174" i="1"/>
  <c r="G174" i="1"/>
  <c r="G242" i="1" s="1"/>
  <c r="I242" i="1" s="1"/>
  <c r="I136" i="1"/>
  <c r="H136" i="1"/>
  <c r="G136" i="1"/>
  <c r="G231" i="1" s="1"/>
  <c r="I231" i="1" s="1"/>
  <c r="I134" i="1"/>
  <c r="I133" i="1" s="1"/>
  <c r="I131" i="1" s="1"/>
  <c r="G133" i="1"/>
  <c r="G131" i="1" s="1"/>
  <c r="G230" i="1" s="1"/>
  <c r="I230" i="1" s="1"/>
  <c r="I227" i="1"/>
  <c r="I43" i="1"/>
  <c r="I228" i="1"/>
  <c r="M216" i="1"/>
  <c r="M210" i="1"/>
  <c r="H239" i="8"/>
  <c r="H240" i="8"/>
  <c r="G256" i="8"/>
  <c r="G255" i="8"/>
  <c r="E336" i="8"/>
  <c r="E355" i="8" s="1"/>
  <c r="E350" i="8"/>
  <c r="E356" i="8" s="1"/>
  <c r="S331" i="7"/>
  <c r="S333" i="7"/>
  <c r="S338" i="7"/>
  <c r="S357" i="7" s="1"/>
  <c r="S345" i="7"/>
  <c r="S346" i="7"/>
  <c r="S352" i="7"/>
  <c r="S358" i="7" s="1"/>
  <c r="G331" i="7"/>
  <c r="G333" i="7"/>
  <c r="G345" i="7"/>
  <c r="G346" i="7"/>
  <c r="E338" i="7"/>
  <c r="E357" i="7" s="1"/>
  <c r="E352" i="7"/>
  <c r="E358" i="7" s="1"/>
  <c r="S177" i="7"/>
  <c r="S175" i="7" s="1"/>
  <c r="S241" i="7" s="1"/>
  <c r="S183" i="7"/>
  <c r="S187" i="7"/>
  <c r="S195" i="7"/>
  <c r="S193" i="7"/>
  <c r="U193" i="7" s="1"/>
  <c r="S203" i="7"/>
  <c r="S244" i="7"/>
  <c r="S209" i="7"/>
  <c r="S245" i="7" s="1"/>
  <c r="T177" i="7"/>
  <c r="T175" i="7" s="1"/>
  <c r="T241" i="7" s="1"/>
  <c r="T183" i="7"/>
  <c r="T187" i="7"/>
  <c r="T195" i="7"/>
  <c r="T203" i="7"/>
  <c r="T244" i="7"/>
  <c r="T245" i="7"/>
  <c r="S18" i="7"/>
  <c r="S16" i="7"/>
  <c r="U16" i="7" s="1"/>
  <c r="U15" i="7" s="1"/>
  <c r="S15" i="7"/>
  <c r="S13" i="7"/>
  <c r="S12" i="7" s="1"/>
  <c r="S25" i="7"/>
  <c r="S24" i="7" s="1"/>
  <c r="S28" i="7"/>
  <c r="S47" i="7"/>
  <c r="S43" i="7" s="1"/>
  <c r="S60" i="7"/>
  <c r="S55" i="7"/>
  <c r="S62" i="7"/>
  <c r="U62" i="7" s="1"/>
  <c r="S66" i="7"/>
  <c r="U66" i="7" s="1"/>
  <c r="S78" i="7"/>
  <c r="U78" i="7" s="1"/>
  <c r="S82" i="7"/>
  <c r="U82" i="7" s="1"/>
  <c r="S85" i="7"/>
  <c r="S104" i="7"/>
  <c r="S99" i="7" s="1"/>
  <c r="S112" i="7"/>
  <c r="S116" i="7"/>
  <c r="S133" i="7"/>
  <c r="S138" i="7"/>
  <c r="S145" i="7"/>
  <c r="T18" i="7"/>
  <c r="T15" i="7"/>
  <c r="T12" i="7"/>
  <c r="T24" i="7"/>
  <c r="T28" i="7"/>
  <c r="T43" i="7"/>
  <c r="T55" i="7"/>
  <c r="T53" i="7" s="1"/>
  <c r="T41" i="7" s="1"/>
  <c r="T227" i="7" s="1"/>
  <c r="T62" i="7"/>
  <c r="T66" i="7"/>
  <c r="T78" i="7"/>
  <c r="T82" i="7"/>
  <c r="T85" i="7"/>
  <c r="T99" i="7"/>
  <c r="T111" i="7"/>
  <c r="T116" i="7"/>
  <c r="T109" i="7"/>
  <c r="T133" i="7"/>
  <c r="T131" i="7"/>
  <c r="T229" i="7" s="1"/>
  <c r="G178" i="7"/>
  <c r="G177" i="7" s="1"/>
  <c r="G175" i="7" s="1"/>
  <c r="G241" i="7" s="1"/>
  <c r="H177" i="7"/>
  <c r="H175" i="7"/>
  <c r="H241" i="7" s="1"/>
  <c r="K177" i="7"/>
  <c r="K175" i="7" s="1"/>
  <c r="K241" i="7" s="1"/>
  <c r="M241" i="7" s="1"/>
  <c r="G183" i="7"/>
  <c r="G189" i="7"/>
  <c r="G199" i="7"/>
  <c r="G193" i="7"/>
  <c r="I193" i="7" s="1"/>
  <c r="R193" i="7" s="1"/>
  <c r="H183" i="7"/>
  <c r="H187" i="7"/>
  <c r="H195" i="7"/>
  <c r="K183" i="7"/>
  <c r="K187" i="7"/>
  <c r="K195" i="7"/>
  <c r="G203" i="7"/>
  <c r="G244" i="7"/>
  <c r="H203" i="7"/>
  <c r="H244" i="7" s="1"/>
  <c r="K203" i="7"/>
  <c r="K244" i="7" s="1"/>
  <c r="M244" i="7" s="1"/>
  <c r="G209" i="7"/>
  <c r="G245" i="7" s="1"/>
  <c r="H209" i="7"/>
  <c r="H245" i="7"/>
  <c r="K245" i="7"/>
  <c r="I246" i="7"/>
  <c r="K246" i="7"/>
  <c r="G18" i="7"/>
  <c r="G15" i="7"/>
  <c r="G13" i="7"/>
  <c r="I13" i="7" s="1"/>
  <c r="I12" i="7" s="1"/>
  <c r="G12" i="7"/>
  <c r="G24" i="7"/>
  <c r="G28" i="7"/>
  <c r="H18" i="7"/>
  <c r="H15" i="7"/>
  <c r="H12" i="7"/>
  <c r="H24" i="7"/>
  <c r="H28" i="7"/>
  <c r="K18" i="7"/>
  <c r="K15" i="7"/>
  <c r="K12" i="7"/>
  <c r="K24" i="7"/>
  <c r="K28" i="7"/>
  <c r="L18" i="7"/>
  <c r="M18" i="7" s="1"/>
  <c r="L15" i="7"/>
  <c r="M15" i="7" s="1"/>
  <c r="L12" i="7"/>
  <c r="L28" i="7"/>
  <c r="G45" i="7"/>
  <c r="I45" i="7" s="1"/>
  <c r="R45" i="7" s="1"/>
  <c r="G47" i="7"/>
  <c r="I47" i="7" s="1"/>
  <c r="R47" i="7" s="1"/>
  <c r="G48" i="7"/>
  <c r="I48" i="7" s="1"/>
  <c r="R48" i="7" s="1"/>
  <c r="G55" i="7"/>
  <c r="G62" i="7"/>
  <c r="G66" i="7"/>
  <c r="G78" i="7"/>
  <c r="I78" i="7" s="1"/>
  <c r="G82" i="7"/>
  <c r="G85" i="7"/>
  <c r="G104" i="7"/>
  <c r="G107" i="7"/>
  <c r="I107" i="7" s="1"/>
  <c r="R107" i="7" s="1"/>
  <c r="G111" i="7"/>
  <c r="G116" i="7"/>
  <c r="H43" i="7"/>
  <c r="H55" i="7"/>
  <c r="H62" i="7"/>
  <c r="H66" i="7"/>
  <c r="H78" i="7"/>
  <c r="H82" i="7"/>
  <c r="H85" i="7"/>
  <c r="H99" i="7"/>
  <c r="H111" i="7"/>
  <c r="H116" i="7"/>
  <c r="K43" i="7"/>
  <c r="K55" i="7"/>
  <c r="K62" i="7"/>
  <c r="K66" i="7"/>
  <c r="K78" i="7"/>
  <c r="K82" i="7"/>
  <c r="K85" i="7"/>
  <c r="K99" i="7"/>
  <c r="K112" i="7"/>
  <c r="M112" i="7" s="1"/>
  <c r="K111" i="7"/>
  <c r="K127" i="7"/>
  <c r="K116" i="7"/>
  <c r="L43" i="7"/>
  <c r="L55" i="7"/>
  <c r="L62" i="7"/>
  <c r="M62" i="7" s="1"/>
  <c r="L66" i="7"/>
  <c r="M66" i="7" s="1"/>
  <c r="L78" i="7"/>
  <c r="L82" i="7"/>
  <c r="L85" i="7"/>
  <c r="L99" i="7"/>
  <c r="L111" i="7"/>
  <c r="L127" i="7"/>
  <c r="L116" i="7" s="1"/>
  <c r="G133" i="7"/>
  <c r="G131" i="7"/>
  <c r="G229" i="7"/>
  <c r="I229" i="7" s="1"/>
  <c r="H133" i="7"/>
  <c r="H131" i="7"/>
  <c r="H229" i="7"/>
  <c r="K133" i="7"/>
  <c r="K131" i="7"/>
  <c r="K229" i="7"/>
  <c r="L133" i="7"/>
  <c r="L131" i="7" s="1"/>
  <c r="L229" i="7" s="1"/>
  <c r="M229" i="7" s="1"/>
  <c r="G138" i="7"/>
  <c r="G145" i="7"/>
  <c r="K138" i="7"/>
  <c r="K145" i="7"/>
  <c r="L145" i="7"/>
  <c r="L142" i="7" s="1"/>
  <c r="G231" i="7"/>
  <c r="G163" i="7"/>
  <c r="G161" i="7" s="1"/>
  <c r="G232" i="7" s="1"/>
  <c r="H231" i="7"/>
  <c r="H163" i="7"/>
  <c r="H161" i="7" s="1"/>
  <c r="H232" i="7" s="1"/>
  <c r="L249" i="7"/>
  <c r="I243" i="7"/>
  <c r="M228" i="7"/>
  <c r="M231" i="7"/>
  <c r="M232" i="7"/>
  <c r="U232" i="7"/>
  <c r="U231" i="7"/>
  <c r="U228" i="7"/>
  <c r="I228" i="7"/>
  <c r="U218" i="7"/>
  <c r="I218" i="7"/>
  <c r="U217" i="7"/>
  <c r="I217" i="7"/>
  <c r="T215" i="7"/>
  <c r="S215" i="7"/>
  <c r="H215" i="7"/>
  <c r="G215" i="7"/>
  <c r="U213" i="7"/>
  <c r="I213" i="7"/>
  <c r="U212" i="7"/>
  <c r="I212" i="7"/>
  <c r="U211" i="7"/>
  <c r="U209" i="7" s="1"/>
  <c r="I211" i="7"/>
  <c r="T209" i="7"/>
  <c r="U207" i="7"/>
  <c r="I207" i="7"/>
  <c r="M207" i="7"/>
  <c r="U206" i="7"/>
  <c r="I206" i="7"/>
  <c r="U205" i="7"/>
  <c r="I205" i="7"/>
  <c r="L203" i="7"/>
  <c r="U199" i="7"/>
  <c r="M199" i="7"/>
  <c r="U198" i="7"/>
  <c r="I198" i="7"/>
  <c r="R198" i="7"/>
  <c r="M198" i="7"/>
  <c r="O198" i="7" s="1"/>
  <c r="U197" i="7"/>
  <c r="I197" i="7"/>
  <c r="R197" i="7"/>
  <c r="U196" i="7"/>
  <c r="I196" i="7"/>
  <c r="R196" i="7"/>
  <c r="M196" i="7"/>
  <c r="O196" i="7" s="1"/>
  <c r="L195" i="7"/>
  <c r="M195" i="7" s="1"/>
  <c r="M193" i="7"/>
  <c r="U191" i="7"/>
  <c r="I191" i="7"/>
  <c r="R191" i="7"/>
  <c r="M191" i="7"/>
  <c r="U190" i="7"/>
  <c r="I190" i="7"/>
  <c r="R190" i="7" s="1"/>
  <c r="M190" i="7"/>
  <c r="U189" i="7"/>
  <c r="M189" i="7"/>
  <c r="U188" i="7"/>
  <c r="I188" i="7"/>
  <c r="R188" i="7" s="1"/>
  <c r="M188" i="7"/>
  <c r="L187" i="7"/>
  <c r="M187" i="7" s="1"/>
  <c r="U185" i="7"/>
  <c r="I185" i="7"/>
  <c r="M185" i="7"/>
  <c r="U184" i="7"/>
  <c r="U183" i="7" s="1"/>
  <c r="I184" i="7"/>
  <c r="R184" i="7"/>
  <c r="M184" i="7"/>
  <c r="O184" i="7" s="1"/>
  <c r="L183" i="7"/>
  <c r="M183" i="7"/>
  <c r="U179" i="7"/>
  <c r="I179" i="7"/>
  <c r="R179" i="7" s="1"/>
  <c r="M179" i="7"/>
  <c r="U178" i="7"/>
  <c r="I178" i="7"/>
  <c r="R178" i="7" s="1"/>
  <c r="L177" i="7"/>
  <c r="L175" i="7" s="1"/>
  <c r="U166" i="7"/>
  <c r="I166" i="7"/>
  <c r="U165" i="7"/>
  <c r="I165" i="7"/>
  <c r="U164" i="7"/>
  <c r="I164" i="7"/>
  <c r="S163" i="7"/>
  <c r="T163" i="7"/>
  <c r="T161" i="7" s="1"/>
  <c r="U159" i="7"/>
  <c r="I159" i="7"/>
  <c r="U158" i="7"/>
  <c r="I158" i="7"/>
  <c r="U157" i="7"/>
  <c r="I157" i="7"/>
  <c r="U156" i="7"/>
  <c r="I156" i="7"/>
  <c r="U155" i="7"/>
  <c r="I155" i="7"/>
  <c r="U154" i="7"/>
  <c r="I154" i="7"/>
  <c r="U153" i="7"/>
  <c r="I153" i="7"/>
  <c r="U152" i="7"/>
  <c r="I152" i="7"/>
  <c r="U151" i="7"/>
  <c r="I151" i="7"/>
  <c r="U150" i="7"/>
  <c r="I150" i="7"/>
  <c r="U146" i="7"/>
  <c r="U145" i="7" s="1"/>
  <c r="I146" i="7"/>
  <c r="R146" i="7" s="1"/>
  <c r="M146" i="7"/>
  <c r="T145" i="7"/>
  <c r="H145" i="7"/>
  <c r="U143" i="7"/>
  <c r="I143" i="7"/>
  <c r="U142" i="7"/>
  <c r="I142" i="7"/>
  <c r="U141" i="7"/>
  <c r="I141" i="7"/>
  <c r="R141" i="7" s="1"/>
  <c r="M141" i="7"/>
  <c r="U140" i="7"/>
  <c r="I140" i="7"/>
  <c r="U139" i="7"/>
  <c r="I139" i="7"/>
  <c r="T138" i="7"/>
  <c r="H138" i="7"/>
  <c r="T136" i="7"/>
  <c r="U134" i="7"/>
  <c r="I134" i="7"/>
  <c r="R134" i="7" s="1"/>
  <c r="M134" i="7"/>
  <c r="O134" i="7"/>
  <c r="I133" i="7"/>
  <c r="I131" i="7"/>
  <c r="U127" i="7"/>
  <c r="T127" i="7"/>
  <c r="S127" i="7"/>
  <c r="R127" i="7"/>
  <c r="O127" i="7"/>
  <c r="M127" i="7"/>
  <c r="I127" i="7"/>
  <c r="H127" i="7"/>
  <c r="G127" i="7"/>
  <c r="U117" i="7"/>
  <c r="U116" i="7" s="1"/>
  <c r="I117" i="7"/>
  <c r="R117" i="7" s="1"/>
  <c r="M117" i="7"/>
  <c r="O117" i="7" s="1"/>
  <c r="U114" i="7"/>
  <c r="I114" i="7"/>
  <c r="R114" i="7"/>
  <c r="M114" i="7"/>
  <c r="U113" i="7"/>
  <c r="I113" i="7"/>
  <c r="R113" i="7"/>
  <c r="M113" i="7"/>
  <c r="I112" i="7"/>
  <c r="I111" i="7" s="1"/>
  <c r="U107" i="7"/>
  <c r="M107" i="7"/>
  <c r="U106" i="7"/>
  <c r="I106" i="7"/>
  <c r="R106" i="7" s="1"/>
  <c r="M106" i="7"/>
  <c r="U105" i="7"/>
  <c r="I105" i="7"/>
  <c r="R105" i="7" s="1"/>
  <c r="M105" i="7"/>
  <c r="O105" i="7" s="1"/>
  <c r="M104" i="7"/>
  <c r="U103" i="7"/>
  <c r="I103" i="7"/>
  <c r="R103" i="7" s="1"/>
  <c r="M103" i="7"/>
  <c r="U102" i="7"/>
  <c r="I102" i="7"/>
  <c r="R102" i="7" s="1"/>
  <c r="M102" i="7"/>
  <c r="U101" i="7"/>
  <c r="I101" i="7"/>
  <c r="R101" i="7" s="1"/>
  <c r="M101" i="7"/>
  <c r="U100" i="7"/>
  <c r="I100" i="7"/>
  <c r="R100" i="7" s="1"/>
  <c r="M100" i="7"/>
  <c r="O100" i="7" s="1"/>
  <c r="U97" i="7"/>
  <c r="I97" i="7"/>
  <c r="R97" i="7"/>
  <c r="M97" i="7"/>
  <c r="O97" i="7" s="1"/>
  <c r="U96" i="7"/>
  <c r="I96" i="7"/>
  <c r="R96" i="7" s="1"/>
  <c r="M96" i="7"/>
  <c r="O96" i="7" s="1"/>
  <c r="U95" i="7"/>
  <c r="I95" i="7"/>
  <c r="R95" i="7" s="1"/>
  <c r="M95" i="7"/>
  <c r="O95" i="7" s="1"/>
  <c r="U94" i="7"/>
  <c r="I94" i="7"/>
  <c r="R94" i="7"/>
  <c r="M94" i="7"/>
  <c r="O94" i="7" s="1"/>
  <c r="U93" i="7"/>
  <c r="I93" i="7"/>
  <c r="R93" i="7"/>
  <c r="M93" i="7"/>
  <c r="O93" i="7" s="1"/>
  <c r="U92" i="7"/>
  <c r="I92" i="7"/>
  <c r="R92" i="7" s="1"/>
  <c r="M92" i="7"/>
  <c r="O92" i="7" s="1"/>
  <c r="U91" i="7"/>
  <c r="I91" i="7"/>
  <c r="R91" i="7" s="1"/>
  <c r="M91" i="7"/>
  <c r="O91" i="7"/>
  <c r="U90" i="7"/>
  <c r="I90" i="7"/>
  <c r="R90" i="7"/>
  <c r="M90" i="7"/>
  <c r="O90" i="7" s="1"/>
  <c r="U89" i="7"/>
  <c r="I89" i="7"/>
  <c r="R89" i="7"/>
  <c r="M89" i="7"/>
  <c r="U88" i="7"/>
  <c r="I88" i="7"/>
  <c r="M88" i="7"/>
  <c r="O88" i="7"/>
  <c r="U87" i="7"/>
  <c r="I87" i="7"/>
  <c r="R87" i="7" s="1"/>
  <c r="M87" i="7"/>
  <c r="O87" i="7"/>
  <c r="U86" i="7"/>
  <c r="I86" i="7"/>
  <c r="R86" i="7"/>
  <c r="M86" i="7"/>
  <c r="U83" i="7"/>
  <c r="I83" i="7"/>
  <c r="R83" i="7" s="1"/>
  <c r="M83" i="7"/>
  <c r="U80" i="7"/>
  <c r="I80" i="7"/>
  <c r="R80" i="7" s="1"/>
  <c r="M80" i="7"/>
  <c r="U79" i="7"/>
  <c r="I79" i="7"/>
  <c r="R79" i="7" s="1"/>
  <c r="M79" i="7"/>
  <c r="U68" i="7"/>
  <c r="I68" i="7"/>
  <c r="R68" i="7" s="1"/>
  <c r="M68" i="7"/>
  <c r="O68" i="7"/>
  <c r="U67" i="7"/>
  <c r="I67" i="7"/>
  <c r="R67" i="7"/>
  <c r="R66" i="7" s="1"/>
  <c r="M67" i="7"/>
  <c r="O67" i="7" s="1"/>
  <c r="U64" i="7"/>
  <c r="I64" i="7"/>
  <c r="R64" i="7" s="1"/>
  <c r="M64" i="7"/>
  <c r="O64" i="7" s="1"/>
  <c r="U63" i="7"/>
  <c r="I63" i="7"/>
  <c r="R63" i="7" s="1"/>
  <c r="M63" i="7"/>
  <c r="O63" i="7"/>
  <c r="U60" i="7"/>
  <c r="I60" i="7"/>
  <c r="R60" i="7" s="1"/>
  <c r="M60" i="7"/>
  <c r="U59" i="7"/>
  <c r="I59" i="7"/>
  <c r="R59" i="7" s="1"/>
  <c r="U58" i="7"/>
  <c r="I58" i="7"/>
  <c r="R58" i="7"/>
  <c r="U57" i="7"/>
  <c r="I57" i="7"/>
  <c r="R57" i="7" s="1"/>
  <c r="U56" i="7"/>
  <c r="I56" i="7"/>
  <c r="R56" i="7" s="1"/>
  <c r="M56" i="7"/>
  <c r="O56" i="7" s="1"/>
  <c r="U51" i="7"/>
  <c r="I51" i="7"/>
  <c r="U50" i="7"/>
  <c r="I50" i="7"/>
  <c r="R49" i="7"/>
  <c r="U48" i="7"/>
  <c r="M48" i="7"/>
  <c r="O48" i="7" s="1"/>
  <c r="M47" i="7"/>
  <c r="U46" i="7"/>
  <c r="I46" i="7"/>
  <c r="R46" i="7"/>
  <c r="U45" i="7"/>
  <c r="M45" i="7"/>
  <c r="M43" i="7"/>
  <c r="U32" i="7"/>
  <c r="I32" i="7"/>
  <c r="R32" i="7" s="1"/>
  <c r="M32" i="7"/>
  <c r="U31" i="7"/>
  <c r="I31" i="7"/>
  <c r="R31" i="7" s="1"/>
  <c r="U30" i="7"/>
  <c r="I30" i="7"/>
  <c r="U29" i="7"/>
  <c r="I29" i="7"/>
  <c r="R29" i="7" s="1"/>
  <c r="U26" i="7"/>
  <c r="I26" i="7"/>
  <c r="I25" i="7"/>
  <c r="U20" i="7"/>
  <c r="I20" i="7"/>
  <c r="U19" i="7"/>
  <c r="I19" i="7"/>
  <c r="R19" i="7" s="1"/>
  <c r="M19" i="7"/>
  <c r="I16" i="7"/>
  <c r="M16" i="7"/>
  <c r="M13" i="7"/>
  <c r="M12" i="7"/>
  <c r="L203" i="1"/>
  <c r="M166" i="1"/>
  <c r="M165" i="1"/>
  <c r="M164" i="1"/>
  <c r="K163" i="1"/>
  <c r="K161" i="1" s="1"/>
  <c r="L163" i="1"/>
  <c r="L161" i="1" s="1"/>
  <c r="M159" i="1"/>
  <c r="M158" i="1"/>
  <c r="M157" i="1"/>
  <c r="M156" i="1"/>
  <c r="M155" i="1"/>
  <c r="M154" i="1"/>
  <c r="M153" i="1"/>
  <c r="M152" i="1"/>
  <c r="M151" i="1"/>
  <c r="M150" i="1"/>
  <c r="M201" i="1"/>
  <c r="K244" i="1"/>
  <c r="M244" i="1" s="1"/>
  <c r="E352" i="1"/>
  <c r="E358" i="1" s="1"/>
  <c r="E338" i="1"/>
  <c r="E357" i="1" s="1"/>
  <c r="L249" i="1"/>
  <c r="K247" i="1"/>
  <c r="K246" i="1"/>
  <c r="M233" i="1"/>
  <c r="M232" i="1"/>
  <c r="M229" i="1"/>
  <c r="M207" i="1"/>
  <c r="M206" i="1"/>
  <c r="M205" i="1"/>
  <c r="L195" i="1"/>
  <c r="M183" i="1"/>
  <c r="L182" i="1"/>
  <c r="M178" i="1"/>
  <c r="L176" i="1"/>
  <c r="L174" i="1" s="1"/>
  <c r="L145" i="1"/>
  <c r="L133" i="1"/>
  <c r="L131" i="1" s="1"/>
  <c r="L230" i="1" s="1"/>
  <c r="O127" i="1"/>
  <c r="M127" i="1"/>
  <c r="L127" i="1"/>
  <c r="L118" i="1" s="1"/>
  <c r="K127" i="1"/>
  <c r="M116" i="1"/>
  <c r="M115" i="1"/>
  <c r="O115" i="1" s="1"/>
  <c r="L113" i="1"/>
  <c r="M108" i="1"/>
  <c r="O108" i="1" s="1"/>
  <c r="M102" i="1"/>
  <c r="L100" i="1"/>
  <c r="L87" i="1"/>
  <c r="M98" i="1"/>
  <c r="O98" i="1" s="1"/>
  <c r="M94" i="1"/>
  <c r="M89" i="1"/>
  <c r="L84" i="1"/>
  <c r="L79" i="1"/>
  <c r="L68" i="1"/>
  <c r="L64" i="1"/>
  <c r="L57" i="1"/>
  <c r="M51" i="1"/>
  <c r="M49" i="1"/>
  <c r="O49" i="1" s="1"/>
  <c r="L45" i="1"/>
  <c r="H22" i="7" l="1"/>
  <c r="U25" i="7"/>
  <c r="G109" i="7"/>
  <c r="H10" i="7"/>
  <c r="U43" i="7"/>
  <c r="M116" i="7"/>
  <c r="O16" i="7"/>
  <c r="O229" i="7"/>
  <c r="O112" i="7"/>
  <c r="M99" i="7"/>
  <c r="I82" i="7"/>
  <c r="R82" i="7" s="1"/>
  <c r="O47" i="7"/>
  <c r="U133" i="7"/>
  <c r="U131" i="7" s="1"/>
  <c r="U47" i="7"/>
  <c r="R62" i="7"/>
  <c r="U163" i="7"/>
  <c r="U161" i="7" s="1"/>
  <c r="I209" i="7"/>
  <c r="I231" i="7"/>
  <c r="H8" i="7"/>
  <c r="H226" i="7" s="1"/>
  <c r="L109" i="7"/>
  <c r="O188" i="7"/>
  <c r="O12" i="7"/>
  <c r="M82" i="7"/>
  <c r="O82" i="7" s="1"/>
  <c r="U244" i="7"/>
  <c r="I145" i="7"/>
  <c r="R145" i="7" s="1"/>
  <c r="M203" i="7"/>
  <c r="G10" i="7"/>
  <c r="S136" i="7"/>
  <c r="S230" i="7" s="1"/>
  <c r="U230" i="7" s="1"/>
  <c r="U13" i="7"/>
  <c r="U12" i="7" s="1"/>
  <c r="O86" i="7"/>
  <c r="O89" i="7"/>
  <c r="M177" i="7"/>
  <c r="M178" i="7" s="1"/>
  <c r="O178" i="7" s="1"/>
  <c r="S131" i="7"/>
  <c r="S229" i="7" s="1"/>
  <c r="R207" i="7"/>
  <c r="R203" i="7" s="1"/>
  <c r="O13" i="7"/>
  <c r="U104" i="7"/>
  <c r="U99" i="7" s="1"/>
  <c r="M133" i="7"/>
  <c r="O133" i="7" s="1"/>
  <c r="O131" i="7" s="1"/>
  <c r="O146" i="7"/>
  <c r="S161" i="7"/>
  <c r="R177" i="7"/>
  <c r="R175" i="7" s="1"/>
  <c r="R246" i="7"/>
  <c r="E360" i="7"/>
  <c r="I245" i="7"/>
  <c r="G338" i="7"/>
  <c r="G357" i="7" s="1"/>
  <c r="G360" i="7" s="1"/>
  <c r="O193" i="7"/>
  <c r="I215" i="7"/>
  <c r="I66" i="7"/>
  <c r="O66" i="7" s="1"/>
  <c r="T10" i="7"/>
  <c r="T8" i="7" s="1"/>
  <c r="T226" i="7" s="1"/>
  <c r="T234" i="7" s="1"/>
  <c r="T257" i="7" s="1"/>
  <c r="M175" i="7"/>
  <c r="O45" i="7"/>
  <c r="U85" i="7"/>
  <c r="O113" i="7"/>
  <c r="O191" i="7"/>
  <c r="L138" i="7"/>
  <c r="M142" i="7"/>
  <c r="O142" i="7" s="1"/>
  <c r="R142" i="7"/>
  <c r="G195" i="7"/>
  <c r="I199" i="7"/>
  <c r="U28" i="7"/>
  <c r="M145" i="7"/>
  <c r="O145" i="7" s="1"/>
  <c r="I177" i="7"/>
  <c r="U177" i="7"/>
  <c r="U175" i="7" s="1"/>
  <c r="K109" i="7"/>
  <c r="M111" i="7"/>
  <c r="O111" i="7" s="1"/>
  <c r="K53" i="7"/>
  <c r="G99" i="7"/>
  <c r="G53" i="7" s="1"/>
  <c r="G41" i="7" s="1"/>
  <c r="G227" i="7" s="1"/>
  <c r="I104" i="7"/>
  <c r="R104" i="7" s="1"/>
  <c r="G22" i="7"/>
  <c r="S111" i="7"/>
  <c r="S109" i="7" s="1"/>
  <c r="U112" i="7"/>
  <c r="U111" i="7" s="1"/>
  <c r="U109" i="7" s="1"/>
  <c r="E358" i="8"/>
  <c r="H256" i="8"/>
  <c r="I18" i="7"/>
  <c r="R18" i="7" s="1"/>
  <c r="I28" i="7"/>
  <c r="R28" i="7" s="1"/>
  <c r="R133" i="7"/>
  <c r="R131" i="7" s="1"/>
  <c r="K136" i="7"/>
  <c r="K230" i="7" s="1"/>
  <c r="I62" i="7"/>
  <c r="O62" i="7" s="1"/>
  <c r="H181" i="7"/>
  <c r="H242" i="7" s="1"/>
  <c r="H249" i="7" s="1"/>
  <c r="H258" i="7" s="1"/>
  <c r="U245" i="7"/>
  <c r="R13" i="7"/>
  <c r="O19" i="7"/>
  <c r="M55" i="7"/>
  <c r="O55" i="7" s="1"/>
  <c r="R78" i="7"/>
  <c r="I138" i="7"/>
  <c r="I163" i="7"/>
  <c r="I161" i="7" s="1"/>
  <c r="U195" i="7"/>
  <c r="I203" i="7"/>
  <c r="I244" i="7"/>
  <c r="O244" i="7" s="1"/>
  <c r="K181" i="7"/>
  <c r="K242" i="7" s="1"/>
  <c r="M242" i="7" s="1"/>
  <c r="S53" i="7"/>
  <c r="U53" i="7" s="1"/>
  <c r="S181" i="7"/>
  <c r="S242" i="7" s="1"/>
  <c r="S249" i="7" s="1"/>
  <c r="U55" i="7"/>
  <c r="O80" i="7"/>
  <c r="R112" i="7"/>
  <c r="R111" i="7" s="1"/>
  <c r="H136" i="7"/>
  <c r="U187" i="7"/>
  <c r="G43" i="7"/>
  <c r="L10" i="7"/>
  <c r="T22" i="7"/>
  <c r="S22" i="7"/>
  <c r="I55" i="7"/>
  <c r="O60" i="7"/>
  <c r="U138" i="7"/>
  <c r="U136" i="7" s="1"/>
  <c r="O190" i="7"/>
  <c r="U203" i="7"/>
  <c r="O207" i="7"/>
  <c r="U215" i="7"/>
  <c r="G136" i="7"/>
  <c r="G230" i="7" s="1"/>
  <c r="I230" i="7" s="1"/>
  <c r="H109" i="7"/>
  <c r="K10" i="7"/>
  <c r="S10" i="7"/>
  <c r="T181" i="7"/>
  <c r="T242" i="7" s="1"/>
  <c r="T249" i="7" s="1"/>
  <c r="T258" i="7" s="1"/>
  <c r="K26" i="1"/>
  <c r="M27" i="1"/>
  <c r="O27" i="1" s="1"/>
  <c r="K113" i="1"/>
  <c r="M113" i="1" s="1"/>
  <c r="O113" i="1" s="1"/>
  <c r="K57" i="1"/>
  <c r="M57" i="1" s="1"/>
  <c r="O57" i="1" s="1"/>
  <c r="M62" i="1"/>
  <c r="O62" i="1" s="1"/>
  <c r="G235" i="1"/>
  <c r="G257" i="1" s="1"/>
  <c r="K133" i="1"/>
  <c r="K131" i="1" s="1"/>
  <c r="K230" i="1" s="1"/>
  <c r="M230" i="1" s="1"/>
  <c r="O230" i="1" s="1"/>
  <c r="K182" i="1"/>
  <c r="M182" i="1" s="1"/>
  <c r="O182" i="1" s="1"/>
  <c r="K145" i="1"/>
  <c r="M145" i="1" s="1"/>
  <c r="O145" i="1" s="1"/>
  <c r="K84" i="1"/>
  <c r="M84" i="1" s="1"/>
  <c r="O84" i="1" s="1"/>
  <c r="K118" i="1"/>
  <c r="M118" i="1" s="1"/>
  <c r="O118" i="1" s="1"/>
  <c r="K138" i="1"/>
  <c r="G249" i="1"/>
  <c r="K100" i="1"/>
  <c r="M100" i="1" s="1"/>
  <c r="O100" i="1" s="1"/>
  <c r="H260" i="1"/>
  <c r="M107" i="1"/>
  <c r="O107" i="1" s="1"/>
  <c r="K87" i="1"/>
  <c r="M96" i="1"/>
  <c r="O96" i="1" s="1"/>
  <c r="K191" i="1"/>
  <c r="M191" i="1" s="1"/>
  <c r="M186" i="1" s="1"/>
  <c r="O186" i="1" s="1"/>
  <c r="K196" i="1"/>
  <c r="K195" i="1" s="1"/>
  <c r="M195" i="1" s="1"/>
  <c r="O195" i="1" s="1"/>
  <c r="M52" i="1"/>
  <c r="O52" i="1" s="1"/>
  <c r="M48" i="1"/>
  <c r="O48" i="1" s="1"/>
  <c r="M50" i="1"/>
  <c r="O50" i="1" s="1"/>
  <c r="K65" i="1"/>
  <c r="M65" i="1" s="1"/>
  <c r="O65" i="1" s="1"/>
  <c r="M208" i="1"/>
  <c r="K203" i="1"/>
  <c r="K245" i="1" s="1"/>
  <c r="M245" i="1" s="1"/>
  <c r="K79" i="1"/>
  <c r="M81" i="1"/>
  <c r="O81" i="1" s="1"/>
  <c r="K68" i="1"/>
  <c r="M68" i="1" s="1"/>
  <c r="O68" i="1" s="1"/>
  <c r="L180" i="1"/>
  <c r="L227" i="1"/>
  <c r="M70" i="1"/>
  <c r="O70" i="1" s="1"/>
  <c r="L55" i="1"/>
  <c r="L111" i="1"/>
  <c r="O187" i="1"/>
  <c r="O134" i="1"/>
  <c r="E360" i="1"/>
  <c r="L142" i="1"/>
  <c r="I175" i="7"/>
  <c r="O175" i="7" s="1"/>
  <c r="O177" i="7"/>
  <c r="O185" i="7"/>
  <c r="R185" i="7"/>
  <c r="R183" i="7" s="1"/>
  <c r="I183" i="7"/>
  <c r="O183" i="7" s="1"/>
  <c r="R12" i="7"/>
  <c r="R50" i="7"/>
  <c r="O50" i="7"/>
  <c r="G352" i="7"/>
  <c r="G358" i="7" s="1"/>
  <c r="I43" i="7"/>
  <c r="O43" i="7" s="1"/>
  <c r="O102" i="7"/>
  <c r="O103" i="7"/>
  <c r="O106" i="7"/>
  <c r="O107" i="7"/>
  <c r="L26" i="7"/>
  <c r="M28" i="7"/>
  <c r="G187" i="7"/>
  <c r="I189" i="7"/>
  <c r="O18" i="7"/>
  <c r="U24" i="7"/>
  <c r="R30" i="7"/>
  <c r="O30" i="7"/>
  <c r="M176" i="1"/>
  <c r="O176" i="1" s="1"/>
  <c r="M163" i="1"/>
  <c r="M161" i="1" s="1"/>
  <c r="R16" i="7"/>
  <c r="I15" i="7"/>
  <c r="U18" i="7"/>
  <c r="R26" i="7"/>
  <c r="R51" i="7"/>
  <c r="O51" i="7"/>
  <c r="R55" i="7"/>
  <c r="O79" i="7"/>
  <c r="O83" i="7"/>
  <c r="M85" i="7"/>
  <c r="R88" i="7"/>
  <c r="R85" i="7" s="1"/>
  <c r="I85" i="7"/>
  <c r="K22" i="7"/>
  <c r="I24" i="7"/>
  <c r="M78" i="7"/>
  <c r="I116" i="7"/>
  <c r="R116" i="7" s="1"/>
  <c r="L181" i="7"/>
  <c r="R229" i="7"/>
  <c r="L53" i="7"/>
  <c r="H53" i="7"/>
  <c r="R245" i="7"/>
  <c r="I241" i="7"/>
  <c r="R241" i="7" s="1"/>
  <c r="U229" i="7"/>
  <c r="O179" i="7"/>
  <c r="I232" i="7"/>
  <c r="U241" i="7"/>
  <c r="S360" i="7"/>
  <c r="M242" i="1"/>
  <c r="O242" i="1" s="1"/>
  <c r="M174" i="1"/>
  <c r="O174" i="1" s="1"/>
  <c r="U22" i="7" l="1"/>
  <c r="M181" i="7"/>
  <c r="M109" i="7"/>
  <c r="I99" i="7"/>
  <c r="R99" i="7" s="1"/>
  <c r="G181" i="7"/>
  <c r="G242" i="7" s="1"/>
  <c r="I242" i="7" s="1"/>
  <c r="R242" i="7" s="1"/>
  <c r="U181" i="7"/>
  <c r="I10" i="7"/>
  <c r="R10" i="7" s="1"/>
  <c r="R138" i="7"/>
  <c r="R136" i="7" s="1"/>
  <c r="O203" i="7"/>
  <c r="K8" i="7"/>
  <c r="K226" i="7" s="1"/>
  <c r="O104" i="7"/>
  <c r="T260" i="7"/>
  <c r="S41" i="7"/>
  <c r="S227" i="7" s="1"/>
  <c r="U227" i="7" s="1"/>
  <c r="U10" i="7"/>
  <c r="U8" i="7" s="1"/>
  <c r="M10" i="7"/>
  <c r="G8" i="7"/>
  <c r="G226" i="7" s="1"/>
  <c r="M131" i="7"/>
  <c r="U41" i="7"/>
  <c r="O28" i="7"/>
  <c r="K41" i="7"/>
  <c r="K227" i="7" s="1"/>
  <c r="O85" i="7"/>
  <c r="K249" i="7"/>
  <c r="H41" i="7"/>
  <c r="H227" i="7" s="1"/>
  <c r="H234" i="7" s="1"/>
  <c r="H257" i="7" s="1"/>
  <c r="H260" i="7" s="1"/>
  <c r="R109" i="7"/>
  <c r="U242" i="7"/>
  <c r="R199" i="7"/>
  <c r="R195" i="7" s="1"/>
  <c r="O199" i="7"/>
  <c r="R244" i="7"/>
  <c r="R249" i="7" s="1"/>
  <c r="R258" i="7" s="1"/>
  <c r="O78" i="7"/>
  <c r="S8" i="7"/>
  <c r="S226" i="7" s="1"/>
  <c r="S234" i="7" s="1"/>
  <c r="I136" i="7"/>
  <c r="I195" i="7"/>
  <c r="O195" i="7" s="1"/>
  <c r="M138" i="7"/>
  <c r="L136" i="7"/>
  <c r="L230" i="7" s="1"/>
  <c r="M230" i="7" s="1"/>
  <c r="O230" i="7" s="1"/>
  <c r="K24" i="1"/>
  <c r="M24" i="1" s="1"/>
  <c r="O24" i="1" s="1"/>
  <c r="M26" i="1"/>
  <c r="O26" i="1" s="1"/>
  <c r="G258" i="1"/>
  <c r="I249" i="1"/>
  <c r="I235" i="1"/>
  <c r="K136" i="1"/>
  <c r="K231" i="1" s="1"/>
  <c r="M133" i="1"/>
  <c r="O133" i="1" s="1"/>
  <c r="O131" i="1" s="1"/>
  <c r="K111" i="1"/>
  <c r="M111" i="1" s="1"/>
  <c r="O111" i="1" s="1"/>
  <c r="K186" i="1"/>
  <c r="K180" i="1" s="1"/>
  <c r="K243" i="1" s="1"/>
  <c r="M87" i="1"/>
  <c r="O87" i="1" s="1"/>
  <c r="M196" i="1"/>
  <c r="O196" i="1" s="1"/>
  <c r="K45" i="1"/>
  <c r="M45" i="1" s="1"/>
  <c r="O45" i="1" s="1"/>
  <c r="K64" i="1"/>
  <c r="M64" i="1" s="1"/>
  <c r="O64" i="1" s="1"/>
  <c r="M203" i="1"/>
  <c r="M79" i="1"/>
  <c r="O79" i="1" s="1"/>
  <c r="L43" i="1"/>
  <c r="L228" i="1" s="1"/>
  <c r="M177" i="1"/>
  <c r="O177" i="1" s="1"/>
  <c r="G234" i="7"/>
  <c r="I226" i="7"/>
  <c r="R53" i="7"/>
  <c r="G249" i="7"/>
  <c r="O242" i="7"/>
  <c r="O241" i="7"/>
  <c r="M142" i="1"/>
  <c r="O142" i="1" s="1"/>
  <c r="L138" i="1"/>
  <c r="R15" i="7"/>
  <c r="O15" i="7"/>
  <c r="L25" i="7"/>
  <c r="M26" i="7"/>
  <c r="O26" i="7" s="1"/>
  <c r="I22" i="7"/>
  <c r="U249" i="7"/>
  <c r="U258" i="7" s="1"/>
  <c r="S258" i="7"/>
  <c r="I53" i="7"/>
  <c r="L41" i="7"/>
  <c r="M53" i="7"/>
  <c r="O53" i="7" s="1"/>
  <c r="O189" i="7"/>
  <c r="R189" i="7"/>
  <c r="R187" i="7" s="1"/>
  <c r="I187" i="7"/>
  <c r="O187" i="7" s="1"/>
  <c r="R43" i="7"/>
  <c r="O116" i="7"/>
  <c r="I109" i="7"/>
  <c r="O109" i="7" s="1"/>
  <c r="O10" i="7" l="1"/>
  <c r="R181" i="7"/>
  <c r="O99" i="7"/>
  <c r="R41" i="7"/>
  <c r="I41" i="7"/>
  <c r="K234" i="7"/>
  <c r="K257" i="7" s="1"/>
  <c r="M257" i="7" s="1"/>
  <c r="U226" i="7"/>
  <c r="I257" i="1"/>
  <c r="I258" i="1"/>
  <c r="I260" i="1" s="1"/>
  <c r="I181" i="7"/>
  <c r="O181" i="7" s="1"/>
  <c r="M136" i="7"/>
  <c r="O138" i="7"/>
  <c r="O136" i="7" s="1"/>
  <c r="K258" i="7"/>
  <c r="M249" i="7"/>
  <c r="R230" i="7"/>
  <c r="I227" i="7"/>
  <c r="M131" i="1"/>
  <c r="M180" i="1"/>
  <c r="O180" i="1" s="1"/>
  <c r="K55" i="1"/>
  <c r="M55" i="1" s="1"/>
  <c r="O55" i="1" s="1"/>
  <c r="L24" i="7"/>
  <c r="M25" i="7"/>
  <c r="O25" i="7" s="1"/>
  <c r="R25" i="7"/>
  <c r="M41" i="7"/>
  <c r="L227" i="7"/>
  <c r="I8" i="7"/>
  <c r="S257" i="7"/>
  <c r="S260" i="7" s="1"/>
  <c r="U234" i="7"/>
  <c r="U257" i="7" s="1"/>
  <c r="U260" i="7" s="1"/>
  <c r="I249" i="7"/>
  <c r="G258" i="7"/>
  <c r="L136" i="1"/>
  <c r="L231" i="1" s="1"/>
  <c r="M138" i="1"/>
  <c r="I234" i="7"/>
  <c r="I257" i="7" s="1"/>
  <c r="O257" i="7" s="1"/>
  <c r="G257" i="7"/>
  <c r="M243" i="1"/>
  <c r="O243" i="1" s="1"/>
  <c r="K249" i="1"/>
  <c r="O41" i="7" l="1"/>
  <c r="K260" i="7"/>
  <c r="M258" i="7"/>
  <c r="M260" i="7" s="1"/>
  <c r="G260" i="7"/>
  <c r="K227" i="1"/>
  <c r="K43" i="1"/>
  <c r="K228" i="1" s="1"/>
  <c r="M228" i="1" s="1"/>
  <c r="O228" i="1" s="1"/>
  <c r="M136" i="1"/>
  <c r="O138" i="1"/>
  <c r="O136" i="1" s="1"/>
  <c r="M227" i="7"/>
  <c r="O227" i="7" s="1"/>
  <c r="R227" i="7"/>
  <c r="M231" i="1"/>
  <c r="O231" i="1" s="1"/>
  <c r="L235" i="1"/>
  <c r="I258" i="7"/>
  <c r="O249" i="7"/>
  <c r="L22" i="7"/>
  <c r="M24" i="7"/>
  <c r="O24" i="7" s="1"/>
  <c r="R24" i="7"/>
  <c r="M249" i="1"/>
  <c r="O249" i="1" s="1"/>
  <c r="K258" i="1"/>
  <c r="M258" i="1" s="1"/>
  <c r="O258" i="1" s="1"/>
  <c r="M43" i="1" l="1"/>
  <c r="O43" i="1" s="1"/>
  <c r="I260" i="7"/>
  <c r="O258" i="7"/>
  <c r="O260" i="7" s="1"/>
  <c r="M22" i="7"/>
  <c r="O22" i="7" s="1"/>
  <c r="L8" i="7"/>
  <c r="R22" i="7"/>
  <c r="K235" i="1"/>
  <c r="K257" i="1" s="1"/>
  <c r="M227" i="1"/>
  <c r="L226" i="7" l="1"/>
  <c r="M8" i="7"/>
  <c r="O8" i="7" s="1"/>
  <c r="R8" i="7"/>
  <c r="M235" i="1"/>
  <c r="O235" i="1" s="1"/>
  <c r="O227" i="1"/>
  <c r="K260" i="1"/>
  <c r="M257" i="1"/>
  <c r="L234" i="7" l="1"/>
  <c r="M226" i="7"/>
  <c r="R226" i="7"/>
  <c r="R234" i="7" s="1"/>
  <c r="R257" i="7" s="1"/>
  <c r="R260" i="7" s="1"/>
  <c r="O257" i="1"/>
  <c r="O260" i="1" s="1"/>
  <c r="M260" i="1"/>
  <c r="M234" i="7" l="1"/>
  <c r="O234" i="7" s="1"/>
  <c r="O22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<sst xmlns="http://schemas.openxmlformats.org/spreadsheetml/2006/main" count="1076" uniqueCount="458">
  <si>
    <t>CLASIFICACIÓN ECONÓMICA DE GASTOS</t>
  </si>
  <si>
    <t>Cta. Contable</t>
  </si>
  <si>
    <t>Codigo Pres.</t>
  </si>
  <si>
    <t xml:space="preserve">  CLASIFICACIÓN ECONOMICA DE LOS GASTOS</t>
  </si>
  <si>
    <t>PRESUPUESTO 2018</t>
  </si>
  <si>
    <t>% VARIACIÓN</t>
  </si>
  <si>
    <t>ORDINARIO</t>
  </si>
  <si>
    <t>EXTRAORD.</t>
  </si>
  <si>
    <t>TOTAL</t>
  </si>
  <si>
    <t>Gastos de Personal</t>
  </si>
  <si>
    <t xml:space="preserve">Personal laboral </t>
  </si>
  <si>
    <t>Secretaría técnica</t>
  </si>
  <si>
    <t>131.00</t>
  </si>
  <si>
    <t>Secretaria técnica</t>
  </si>
  <si>
    <t>Visados</t>
  </si>
  <si>
    <t>134.00</t>
  </si>
  <si>
    <t>Retribución salariales arquitectos de visado.</t>
  </si>
  <si>
    <t>Servicios Generales</t>
  </si>
  <si>
    <t>135.00</t>
  </si>
  <si>
    <t>Retribución salariales servicios generales.</t>
  </si>
  <si>
    <t>135.01</t>
  </si>
  <si>
    <t>Finiquitos</t>
  </si>
  <si>
    <t>Cuotas Prestaciones y Gastos Sociales a cargo del empe.</t>
  </si>
  <si>
    <t>Cuotas sociales.</t>
  </si>
  <si>
    <t>160.00</t>
  </si>
  <si>
    <t>Visados.</t>
  </si>
  <si>
    <t>160.01</t>
  </si>
  <si>
    <t>Servicios generales.</t>
  </si>
  <si>
    <t>Gastos sociales</t>
  </si>
  <si>
    <t>162.00</t>
  </si>
  <si>
    <t>Gastos de formación.</t>
  </si>
  <si>
    <t>162.10</t>
  </si>
  <si>
    <t>Prevención riesgos laborales.</t>
  </si>
  <si>
    <t>162.20</t>
  </si>
  <si>
    <t>Seguros colectivos</t>
  </si>
  <si>
    <t>162.30</t>
  </si>
  <si>
    <t>Otros gastos sociales.</t>
  </si>
  <si>
    <t>Presupuesto pendiente</t>
  </si>
  <si>
    <t>Gastos en bienes corrientes y servicios.</t>
  </si>
  <si>
    <t>Reparación, Mantenimiento y Conservación</t>
  </si>
  <si>
    <t>Edificios y otras construcciones</t>
  </si>
  <si>
    <t xml:space="preserve">*COMUNIDADES (GAIA 346,10 c/3 meses + 34,68 c/mes) + 5 cuotas extraordinarias + reparaciones </t>
  </si>
  <si>
    <t>Maquinaria, instalaciones y utillaje</t>
  </si>
  <si>
    <t>Mobiliario y enseres</t>
  </si>
  <si>
    <t>Equipamiento para procesos de informatica</t>
  </si>
  <si>
    <t>Migracion de datos servidor</t>
  </si>
  <si>
    <t>Desarrollo ITE -IEE/ censo</t>
  </si>
  <si>
    <t>Material, suministros y otros</t>
  </si>
  <si>
    <t>Material de oficina</t>
  </si>
  <si>
    <t>220.00</t>
  </si>
  <si>
    <t xml:space="preserve">Ordinario no inventariable </t>
  </si>
  <si>
    <t>220.01</t>
  </si>
  <si>
    <t xml:space="preserve">Prensa y revistas </t>
  </si>
  <si>
    <t>220.02</t>
  </si>
  <si>
    <t>Material informático no inventariable.</t>
  </si>
  <si>
    <t>220.03</t>
  </si>
  <si>
    <t>Libros y otras publicaciones técnicas.</t>
  </si>
  <si>
    <t>220.04</t>
  </si>
  <si>
    <t>Libros de ordenes</t>
  </si>
  <si>
    <t xml:space="preserve">Suministros </t>
  </si>
  <si>
    <t>221.00</t>
  </si>
  <si>
    <t xml:space="preserve">Energía eléctrica </t>
  </si>
  <si>
    <t>221.01</t>
  </si>
  <si>
    <t>Agua</t>
  </si>
  <si>
    <t xml:space="preserve">Comunicaciones </t>
  </si>
  <si>
    <t>222.00</t>
  </si>
  <si>
    <t xml:space="preserve">Telefónicas </t>
  </si>
  <si>
    <t>222.01</t>
  </si>
  <si>
    <t>Postales y mensajería</t>
  </si>
  <si>
    <t xml:space="preserve"> - CLASIFICACIÓN ECONOMICA DE LOS GASTOS</t>
  </si>
  <si>
    <t>Primas de seguros</t>
  </si>
  <si>
    <t>224.00</t>
  </si>
  <si>
    <t>Edificios y locales.</t>
  </si>
  <si>
    <t>224.02</t>
  </si>
  <si>
    <t xml:space="preserve">Responsabilidad civil </t>
  </si>
  <si>
    <t>Tributos</t>
  </si>
  <si>
    <t>225.00</t>
  </si>
  <si>
    <t>Tasas e impuestos locales</t>
  </si>
  <si>
    <t xml:space="preserve">Gastos diversos </t>
  </si>
  <si>
    <t>226.00</t>
  </si>
  <si>
    <t>Cánones y comisiones.</t>
  </si>
  <si>
    <t>226.01</t>
  </si>
  <si>
    <t>Atenciones protocolarias y representativas</t>
  </si>
  <si>
    <t>226.02</t>
  </si>
  <si>
    <t>Publicidad y propaganda</t>
  </si>
  <si>
    <t>226.03</t>
  </si>
  <si>
    <t xml:space="preserve">Comida de personal </t>
  </si>
  <si>
    <t>226.04</t>
  </si>
  <si>
    <t>Actos y cena de hermandad.</t>
  </si>
  <si>
    <t>226.05</t>
  </si>
  <si>
    <t>Actividades profesionales.</t>
  </si>
  <si>
    <t>226.06</t>
  </si>
  <si>
    <t>Actividades comisión urbanismo.</t>
  </si>
  <si>
    <t>226.07</t>
  </si>
  <si>
    <t>Actividades culturales.</t>
  </si>
  <si>
    <t>226.08</t>
  </si>
  <si>
    <t>Otros gastos.</t>
  </si>
  <si>
    <t>* gastos peque cotidianos, menaje, Marcial</t>
  </si>
  <si>
    <t>226.09</t>
  </si>
  <si>
    <t>Reprografía</t>
  </si>
  <si>
    <t>226.10</t>
  </si>
  <si>
    <t>Actividad de concurso</t>
  </si>
  <si>
    <t>GASTOS CONCURSOS</t>
  </si>
  <si>
    <t>226.11</t>
  </si>
  <si>
    <t>Coste segregación</t>
  </si>
  <si>
    <t>Trabajos realizados por otras empresas</t>
  </si>
  <si>
    <t>227.00</t>
  </si>
  <si>
    <t xml:space="preserve">Limpieza y aseo </t>
  </si>
  <si>
    <t>227.01</t>
  </si>
  <si>
    <t xml:space="preserve">Seguridad </t>
  </si>
  <si>
    <t>227.02</t>
  </si>
  <si>
    <t>Asesoría contable y fiscal</t>
  </si>
  <si>
    <t>227.03</t>
  </si>
  <si>
    <t xml:space="preserve">Asesoría laboral  </t>
  </si>
  <si>
    <t>NORMAL +55 POR CADA CONTRATO EXTRA +19,65 por trabajasor</t>
  </si>
  <si>
    <t>227.04</t>
  </si>
  <si>
    <t>Asesoría jurídica.+ LOPDL</t>
  </si>
  <si>
    <t xml:space="preserve">NICO 920C/MES </t>
  </si>
  <si>
    <t>227.05</t>
  </si>
  <si>
    <t>Auditoría externa + auditoria calidad</t>
  </si>
  <si>
    <t>227.06</t>
  </si>
  <si>
    <t xml:space="preserve">Otros profesionales </t>
  </si>
  <si>
    <t>WEB+ + VCC (JESUS 368 +100 MES MIRIAM VCC)+ APAREJADORES TIPO 3500 SE PONE EN VISADOS EN NEGATIVO (hrico en 2018 hay nueva partida en ingresos se ponen en negativos)</t>
  </si>
  <si>
    <t>227.07</t>
  </si>
  <si>
    <t>Supervision de proyectos</t>
  </si>
  <si>
    <t>miriam 16% + extras gg INF SUPERVSION</t>
  </si>
  <si>
    <t>Indemnizaciones por razón del Servicio</t>
  </si>
  <si>
    <t xml:space="preserve">Dietas </t>
  </si>
  <si>
    <t>230.00</t>
  </si>
  <si>
    <t xml:space="preserve">De cargos electivos </t>
  </si>
  <si>
    <t>230.01</t>
  </si>
  <si>
    <t>Del personal de la ISO</t>
  </si>
  <si>
    <t>230.02</t>
  </si>
  <si>
    <t>De colegiados</t>
  </si>
  <si>
    <t xml:space="preserve">Locomoción </t>
  </si>
  <si>
    <t>231.00</t>
  </si>
  <si>
    <t>De cargos electivos + colegiados</t>
  </si>
  <si>
    <t xml:space="preserve">Gastos Financieros </t>
  </si>
  <si>
    <t>Cierre Def. 2006</t>
  </si>
  <si>
    <t>Préstamos y anticipos.</t>
  </si>
  <si>
    <t>Transferencias corrientes.</t>
  </si>
  <si>
    <t>A instituciones sin fines de lucro.</t>
  </si>
  <si>
    <t xml:space="preserve">A Órganos Generales </t>
  </si>
  <si>
    <t>Inversiones reales.</t>
  </si>
  <si>
    <t>Inmovilizado material</t>
  </si>
  <si>
    <t>Activos financieros</t>
  </si>
  <si>
    <t>Pasivos financieros.</t>
  </si>
  <si>
    <t xml:space="preserve">Inversiones en terrenos </t>
  </si>
  <si>
    <t>Edificios y Construcciones</t>
  </si>
  <si>
    <t>TEMA DE CAMBIAR LA INVERSIÓN DE ELECTRICIDAD</t>
  </si>
  <si>
    <t>estores y etc</t>
  </si>
  <si>
    <t>Equipos para procesos de información</t>
  </si>
  <si>
    <t xml:space="preserve">Otro inmovilizado material </t>
  </si>
  <si>
    <t>Inmovilizado Intangible</t>
  </si>
  <si>
    <t>Adquisición licencias de software.</t>
  </si>
  <si>
    <t xml:space="preserve"> 260 OFFICE+ CIEC180</t>
  </si>
  <si>
    <t>Adquisición de deuda del sector público.</t>
  </si>
  <si>
    <t>Adquisición de deuda del sector privado</t>
  </si>
  <si>
    <t>810.00</t>
  </si>
  <si>
    <t>A medio plazo</t>
  </si>
  <si>
    <t>Tasas y Otros Ingresos</t>
  </si>
  <si>
    <t>810.01</t>
  </si>
  <si>
    <t>A largo plazo</t>
  </si>
  <si>
    <t xml:space="preserve">Concesión de préstamos </t>
  </si>
  <si>
    <t>Transferencias corrientes</t>
  </si>
  <si>
    <t>Ingresos patrimoniales</t>
  </si>
  <si>
    <t>82.00</t>
  </si>
  <si>
    <t>A corto plazo</t>
  </si>
  <si>
    <t>82.01</t>
  </si>
  <si>
    <t>Consitución de depósitos y fianzas.</t>
  </si>
  <si>
    <t>83.00</t>
  </si>
  <si>
    <t>83.01</t>
  </si>
  <si>
    <t>Amortización de préstamos y créditos.</t>
  </si>
  <si>
    <t>RESUMEN</t>
  </si>
  <si>
    <t>910.00</t>
  </si>
  <si>
    <t>De entidades de crédito.</t>
  </si>
  <si>
    <t>910.00.1</t>
  </si>
  <si>
    <t>910.00.2</t>
  </si>
  <si>
    <t>CLASIFICACIÓN ECONÓMICA DE INGRESOS</t>
  </si>
  <si>
    <t xml:space="preserve"> - CLASIFICACIÓN ECONOMICA DE LOS INGRESOS</t>
  </si>
  <si>
    <t>RESULTADO</t>
  </si>
  <si>
    <t>Ingresos por aportaciones colegiales</t>
  </si>
  <si>
    <t>Ingresos ordinarios</t>
  </si>
  <si>
    <t>Cuota Fija</t>
  </si>
  <si>
    <t>Cuota para CSCAE</t>
  </si>
  <si>
    <t>APROX 6,75€ POR COLEGIADO</t>
  </si>
  <si>
    <t>Por derechos de registro y Visados (*)</t>
  </si>
  <si>
    <t>300.00</t>
  </si>
  <si>
    <t>Emisión de Informes VCC</t>
  </si>
  <si>
    <t>* Ingreso visado VCC</t>
  </si>
  <si>
    <t>300.01</t>
  </si>
  <si>
    <t>Cuota de tramitación--</t>
  </si>
  <si>
    <t>*ingresos por visado (subi 20,000) SE LE SACA VC Y SE SUMAN LAS FACTURA SDE INGRESOS DE APAREJADORE</t>
  </si>
  <si>
    <t xml:space="preserve">Ingresos </t>
  </si>
  <si>
    <t>310.01</t>
  </si>
  <si>
    <t>Copias de planos + gestión de archivos</t>
  </si>
  <si>
    <t>Copia de proyectos</t>
  </si>
  <si>
    <t>310.02</t>
  </si>
  <si>
    <t>Publicidad + patrocinio + gastos compartidos con otros colegios</t>
  </si>
  <si>
    <t>*Publicidad asemas 1000  + banner + ayuntamiento  + proveedores</t>
  </si>
  <si>
    <t>310.03</t>
  </si>
  <si>
    <t>Cena de Navidad</t>
  </si>
  <si>
    <t>310.04</t>
  </si>
  <si>
    <t>Compulsas + gestion de archivos</t>
  </si>
  <si>
    <t>* compulsa gestion de archivos ingresos por cuota de aperutra exp</t>
  </si>
  <si>
    <t xml:space="preserve"> </t>
  </si>
  <si>
    <t>Cesión de uso Programa Arquiges</t>
  </si>
  <si>
    <t>la palma y fuerte - FALTAN FACATURAS'</t>
  </si>
  <si>
    <t>Prestaciones de servicios</t>
  </si>
  <si>
    <t>330.00</t>
  </si>
  <si>
    <t>Cursos y seminarios</t>
  </si>
  <si>
    <t>* cursos (hay 350*20 de revit)</t>
  </si>
  <si>
    <t>330.01</t>
  </si>
  <si>
    <t>Gestion ITE-IEE/censo</t>
  </si>
  <si>
    <t>330.02</t>
  </si>
  <si>
    <t>Otros servicios (gestion concursos)act culturales</t>
  </si>
  <si>
    <t>concuros, convenios aapp, PORQUE COMAS</t>
  </si>
  <si>
    <t>330.03</t>
  </si>
  <si>
    <t>Informes de Supervision de Proyectos</t>
  </si>
  <si>
    <t>De cuentas corrientes.</t>
  </si>
  <si>
    <t>De intereses de préstamos.</t>
  </si>
  <si>
    <t>Rendimientos de activos financieros.</t>
  </si>
  <si>
    <t>Reintegro de préstamos concedidos</t>
  </si>
  <si>
    <t>Reintegro de fianzas y depósitos constituidos.</t>
  </si>
  <si>
    <t>Remamente de tesorería ejercicio anterior.</t>
  </si>
  <si>
    <t>Pasivos financieros</t>
  </si>
  <si>
    <t>Préstamos recibidos</t>
  </si>
  <si>
    <t>Depósitos y fianzas recibidas</t>
  </si>
  <si>
    <t>RESUMEN DE GASTOS</t>
  </si>
  <si>
    <t>CAPITULO</t>
  </si>
  <si>
    <t>CONCEPTO</t>
  </si>
  <si>
    <t>GASTOS DE PERSONAL</t>
  </si>
  <si>
    <t>COSTES EN BIENES CORRIENTES Y SERVICIOS</t>
  </si>
  <si>
    <t>PRESUPUESTO 2017</t>
  </si>
  <si>
    <t>EJECUCIÓN A 30/09/2017</t>
  </si>
  <si>
    <t>GASTOS FINANCIEROS</t>
  </si>
  <si>
    <t>TRANSFERENCIAS CORRIENTES</t>
  </si>
  <si>
    <t xml:space="preserve"> Pres. 2017 / sep.17</t>
  </si>
  <si>
    <t>INVERSIONES REALES</t>
  </si>
  <si>
    <t>ACTIVOS FINANCIEROS</t>
  </si>
  <si>
    <t>PASIVOS FINANCIEROS</t>
  </si>
  <si>
    <t>RESUMEN DE INGRESOS</t>
  </si>
  <si>
    <t>INGRESOS POR APORTACIONES COLEGIALES</t>
  </si>
  <si>
    <t>TASAS Y OTROS INGRESOS</t>
  </si>
  <si>
    <t>ACTIVOS PATRIMONIALES</t>
  </si>
  <si>
    <t xml:space="preserve">RESUMEN </t>
  </si>
  <si>
    <t xml:space="preserve">TOTAL DE GASTOS </t>
  </si>
  <si>
    <t>TOTAL DE INGRESOS</t>
  </si>
  <si>
    <t xml:space="preserve"> Pres.2017 / sep.17</t>
  </si>
  <si>
    <t>gastos</t>
  </si>
  <si>
    <t>Cierre Prov. 2015</t>
  </si>
  <si>
    <t>ingresos</t>
  </si>
  <si>
    <t>Presupuesto 2017</t>
  </si>
  <si>
    <t>COPISTERÍA (COPIA DE PROYECTOS)</t>
  </si>
  <si>
    <t xml:space="preserve">AUDITORIA CONTABILIDAD + ICCL auditoria </t>
  </si>
  <si>
    <t xml:space="preserve">ISO </t>
  </si>
  <si>
    <t>CARGOS LECTIVOS</t>
  </si>
  <si>
    <t>A Consejo Canario</t>
  </si>
  <si>
    <t>º</t>
  </si>
  <si>
    <t>Actividades urbanismo.</t>
  </si>
  <si>
    <t>Cuota Fija + CSCAE (Unificado)</t>
  </si>
  <si>
    <t>Copias de planos + libros de órdenes</t>
  </si>
  <si>
    <t>UNELIN</t>
  </si>
  <si>
    <t>Asesoría LOPDL</t>
  </si>
  <si>
    <t>Asesoría jurídica</t>
  </si>
  <si>
    <t>Ingreso al CCCA</t>
  </si>
  <si>
    <t>Secretaria (300 € de su recibo)</t>
  </si>
  <si>
    <t>Administrativa</t>
  </si>
  <si>
    <t>Cuota social arquitectas de visado</t>
  </si>
  <si>
    <t>Gastos de formación</t>
  </si>
  <si>
    <t>Prevención riesgos laborales</t>
  </si>
  <si>
    <t>Otros gastos sociales</t>
  </si>
  <si>
    <t>Formaciones personal COALZ</t>
  </si>
  <si>
    <t>Renting de impresora</t>
  </si>
  <si>
    <t>Domiciliación Dysteca</t>
  </si>
  <si>
    <t>Instalaciones: Artero y universal. Mantenimiento de electricidad y fontanería</t>
  </si>
  <si>
    <t>Usabi</t>
  </si>
  <si>
    <t>Libros de órdenes</t>
  </si>
  <si>
    <t>Material informático no inventariable</t>
  </si>
  <si>
    <t xml:space="preserve">Libros y otras publicaciones </t>
  </si>
  <si>
    <t>Correos y mrw</t>
  </si>
  <si>
    <t xml:space="preserve">Seguro edificio: Bilbao </t>
  </si>
  <si>
    <t>IBI sede+ archivo</t>
  </si>
  <si>
    <t>Comisiones bancarias</t>
  </si>
  <si>
    <t>Obsequios 25 años/ junta anterior</t>
  </si>
  <si>
    <t>Promoción y publicidad en medios de comunicación</t>
  </si>
  <si>
    <t>Gastos de las formaciones</t>
  </si>
  <si>
    <t>Vladimir</t>
  </si>
  <si>
    <t>Romero del Más: NORMAL +55 POR CADA CONTRATO EXTRA +19,65 por trabajasor</t>
  </si>
  <si>
    <t>Domínguez Vila</t>
  </si>
  <si>
    <t>Pablo Peón Cuartas</t>
  </si>
  <si>
    <t>Otros gastos</t>
  </si>
  <si>
    <t>Actos y cena de hermandad</t>
  </si>
  <si>
    <t>Cánones y comisiones</t>
  </si>
  <si>
    <t>Trazos vinilos, mobiliario, etc.</t>
  </si>
  <si>
    <t xml:space="preserve">Web y Redes. Contenidos </t>
  </si>
  <si>
    <t>Auditoría externa y auditoria calidad</t>
  </si>
  <si>
    <t>Ordenadores nuevos, proyector, etc.</t>
  </si>
  <si>
    <t>Cuotas colegiados</t>
  </si>
  <si>
    <t>Contratos de patrocino: Asemas, Cegrisa, Cortizo+ Aytos.</t>
  </si>
  <si>
    <t>Cesión Arquigés LPA/ FTV</t>
  </si>
  <si>
    <t>Google G-Suite</t>
  </si>
  <si>
    <t>dosmil20</t>
  </si>
  <si>
    <t>dosmil21</t>
  </si>
  <si>
    <r>
      <t>Visados</t>
    </r>
    <r>
      <rPr>
        <b/>
        <sz val="8"/>
        <color rgb="FFFF0000"/>
        <rFont val="Calibri"/>
        <family val="2"/>
      </rPr>
      <t xml:space="preserve"> </t>
    </r>
  </si>
  <si>
    <t>Servicios Administrativos</t>
  </si>
  <si>
    <t>Retribución salariales servicios administrativos</t>
  </si>
  <si>
    <t>Mantenimiento y actualización de ARQUIGES</t>
  </si>
  <si>
    <t>Mejoras de ARQUIGES</t>
  </si>
  <si>
    <r>
      <t xml:space="preserve">Seguro Asemas Junta 166,73 </t>
    </r>
    <r>
      <rPr>
        <sz val="8"/>
        <color rgb="FFFF0000"/>
        <rFont val="Calibri"/>
        <family val="2"/>
      </rPr>
      <t xml:space="preserve"> + ASEMAS VCC 00,00</t>
    </r>
  </si>
  <si>
    <t>Cena de navidad</t>
  </si>
  <si>
    <t>Gastos cotidianos/cosas pequeñas</t>
  </si>
  <si>
    <t>SEGREGACIÓN. (Eliminable para presup 2022)</t>
  </si>
  <si>
    <t>Community manager</t>
  </si>
  <si>
    <t xml:space="preserve">Mantenimiento informático </t>
  </si>
  <si>
    <r>
      <t>Mantenimiento equipos y web COALZ</t>
    </r>
    <r>
      <rPr>
        <sz val="8"/>
        <color rgb="FFFF0000"/>
        <rFont val="Calibri"/>
        <family val="2"/>
      </rPr>
      <t xml:space="preserve"> </t>
    </r>
  </si>
  <si>
    <t xml:space="preserve">ICCL auditoria </t>
  </si>
  <si>
    <t>SS. SS. Arquitectas de visado</t>
  </si>
  <si>
    <t>Arquitectas de visado (-16% Miriam SUPERVISIÓN)</t>
  </si>
  <si>
    <t>Supervisión</t>
  </si>
  <si>
    <t>Ingresos trimestrales CFO- Aparejadores</t>
  </si>
  <si>
    <t>Pagos trimestrales CFO- Aparejadores</t>
  </si>
  <si>
    <t>Tramitación CFO- COAATLZ</t>
  </si>
  <si>
    <t>Transporte y dietas de cargos electivos</t>
  </si>
  <si>
    <t>Recibos de cargos electivos</t>
  </si>
  <si>
    <t>A Consejo Canario de Colegios de Arquitectos</t>
  </si>
  <si>
    <t>Equipos informáticos</t>
  </si>
  <si>
    <t>Adquisición licencias de software</t>
  </si>
  <si>
    <t>CIEC+Office+ otros porgramas</t>
  </si>
  <si>
    <r>
      <t xml:space="preserve">* Ingreso visado VCC </t>
    </r>
    <r>
      <rPr>
        <sz val="8"/>
        <color rgb="FFFF0000"/>
        <rFont val="Calibri"/>
        <family val="2"/>
      </rPr>
      <t>(0,00)</t>
    </r>
  </si>
  <si>
    <t>Ingresos Visados</t>
  </si>
  <si>
    <t>Cuota de tramitación visados</t>
  </si>
  <si>
    <t>Cuota de tramitación CFO- COAATLZ</t>
  </si>
  <si>
    <t>Cursos</t>
  </si>
  <si>
    <t>Cuota social servicios administrativos</t>
  </si>
  <si>
    <t>?¿</t>
  </si>
  <si>
    <t>Gastos a cargo del empleador</t>
  </si>
  <si>
    <t>Comunidad de propietarios</t>
  </si>
  <si>
    <t>Mantenimiento instalaciones sede colegial (maquinaria, instalaciones y utillaje)</t>
  </si>
  <si>
    <t>Gastos de la Semana de la Arquitectura+ día del urbanismo+ conferencias</t>
  </si>
  <si>
    <t>Actividades: Formación</t>
  </si>
  <si>
    <t>Actividades: Culturales</t>
  </si>
  <si>
    <t>Gastos de comisiones urbanismo/patrimonio/vvda</t>
  </si>
  <si>
    <t>Gestión de concursos</t>
  </si>
  <si>
    <r>
      <t xml:space="preserve"> VCC </t>
    </r>
    <r>
      <rPr>
        <sz val="8"/>
        <color theme="4" tint="-0.249977111117893"/>
        <rFont val="Calibri"/>
        <family val="2"/>
      </rPr>
      <t>+ Externos Supervisión de proyectos+ Colaboradores COALZ</t>
    </r>
  </si>
  <si>
    <t>Adquisición de deuda del sector público</t>
  </si>
  <si>
    <t>Por derechos de registro y visados</t>
  </si>
  <si>
    <t>Copias de planos, compulsas y gestión de archivos</t>
  </si>
  <si>
    <t>Cesión de uso programa ARQUIGES</t>
  </si>
  <si>
    <t>Publicidad, patrocinio y colaboración</t>
  </si>
  <si>
    <t xml:space="preserve">Otros servicios </t>
  </si>
  <si>
    <t>gestión de concuros, convenios AAPP</t>
  </si>
  <si>
    <t>Reintegro de fianzas y depósitos constituidos</t>
  </si>
  <si>
    <t>Remamente de tesorería ejercicio anterior</t>
  </si>
  <si>
    <t>De cuentas corrientes</t>
  </si>
  <si>
    <t>De intereses de préstamos</t>
  </si>
  <si>
    <t>Rendimientos de activos financieros</t>
  </si>
  <si>
    <t>Colaboradores coalz+ engordar</t>
  </si>
  <si>
    <t>Retribución salarial arquitectas de visado</t>
  </si>
  <si>
    <t>Retribución salarial supervisión</t>
  </si>
  <si>
    <t>Cuota social supervisión</t>
  </si>
  <si>
    <t>16% Miriam SUPERVISIÓN</t>
  </si>
  <si>
    <t>SS 16% Miriam</t>
  </si>
  <si>
    <t>De cargos electivos y colegiados</t>
  </si>
  <si>
    <t>111.00</t>
  </si>
  <si>
    <t>111.01</t>
  </si>
  <si>
    <t>113.00</t>
  </si>
  <si>
    <t>113.01</t>
  </si>
  <si>
    <t>114.00</t>
  </si>
  <si>
    <t>114.01</t>
  </si>
  <si>
    <t>120.00</t>
  </si>
  <si>
    <t>120.01</t>
  </si>
  <si>
    <t>120.02</t>
  </si>
  <si>
    <t>112.01</t>
  </si>
  <si>
    <t>223.00</t>
  </si>
  <si>
    <t>224.01</t>
  </si>
  <si>
    <t>Edificios y locales</t>
  </si>
  <si>
    <t>225.01</t>
  </si>
  <si>
    <t>225.02</t>
  </si>
  <si>
    <t>225.03</t>
  </si>
  <si>
    <t>225.04</t>
  </si>
  <si>
    <t>225.05</t>
  </si>
  <si>
    <t>225.06</t>
  </si>
  <si>
    <t>225.07</t>
  </si>
  <si>
    <t>225.08</t>
  </si>
  <si>
    <t>225.09</t>
  </si>
  <si>
    <t>225.10</t>
  </si>
  <si>
    <t>A instituciones sin fines de lucro</t>
  </si>
  <si>
    <t>Préstamos y anticipos</t>
  </si>
  <si>
    <t>820.00</t>
  </si>
  <si>
    <t>820.01</t>
  </si>
  <si>
    <t>830.00</t>
  </si>
  <si>
    <t>830.01</t>
  </si>
  <si>
    <t>Consitución de depósitos y fianzas</t>
  </si>
  <si>
    <t>Amortización de préstamos y créditos</t>
  </si>
  <si>
    <t>Cuota fija COALZ y CSCAE</t>
  </si>
  <si>
    <t>Gastos en bienes corrientes y servicios</t>
  </si>
  <si>
    <t>Inversiones reales</t>
  </si>
  <si>
    <t>GASTOS EN BIENES CORRIENTES Y SERVICIOS</t>
  </si>
  <si>
    <t>Mantenimeinto, mejoras y gestión ARQUIGÉS</t>
  </si>
  <si>
    <t>Actividades profesionales (formación)</t>
  </si>
  <si>
    <t xml:space="preserve">Recibo de Secretaria (300€/mes) </t>
  </si>
  <si>
    <t xml:space="preserve">Salario Cris+Miriam - (16% Miriam: a supervision 3600€) </t>
  </si>
  <si>
    <t>Salario Administrativo</t>
  </si>
  <si>
    <t>Partida a eliminar 2021</t>
  </si>
  <si>
    <t>Un poco más por si es necesario contratar a alguien de forma puntual</t>
  </si>
  <si>
    <t xml:space="preserve">SS. Cris+ Miriam (Miriam-10%) </t>
  </si>
  <si>
    <t>SS. Administrativo</t>
  </si>
  <si>
    <t>Formación personal</t>
  </si>
  <si>
    <t>Renting de la impresora (Dysteca)</t>
  </si>
  <si>
    <t>ARQUIGÉS: Facturas Usabi</t>
  </si>
  <si>
    <t xml:space="preserve">Google G-Suite (160€/mes) </t>
  </si>
  <si>
    <t>Libros de órdenes (100 ud/810€)</t>
  </si>
  <si>
    <t>Mrw+ correos</t>
  </si>
  <si>
    <t>Seguro edificio: Bilbao (500€ aprox.)</t>
  </si>
  <si>
    <t>Seguro Asemas (Junta) 166,73 + (otros VCC)</t>
  </si>
  <si>
    <t>IBI (Sede/Archivo)</t>
  </si>
  <si>
    <t>Obsequios (colegiados 25 años)/Junta anterior</t>
  </si>
  <si>
    <t>Publicidad en medios</t>
  </si>
  <si>
    <t>Gastos de las formaciones para arquitectos</t>
  </si>
  <si>
    <t>Gastos de la Semana de la Arquitectura/ Día del Urbanismo/ Otros</t>
  </si>
  <si>
    <t>GASTOS orhanización de CONCURSOS</t>
  </si>
  <si>
    <t>Unelín</t>
  </si>
  <si>
    <t>Beneficios que dan las cuentas, aprox. 50€</t>
  </si>
  <si>
    <t>Compra de estación total GPS</t>
  </si>
  <si>
    <t>DÉFICIT /  SUPERÁVIT</t>
  </si>
  <si>
    <t>Otros servicios (gestion concursos, act culturales, asistencia técnica)</t>
  </si>
  <si>
    <t>310.05</t>
  </si>
  <si>
    <t>Alquiler GPS</t>
  </si>
  <si>
    <t>Ingresos extraordinarios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</si>
  <si>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</si>
  <si>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</si>
  <si>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</si>
  <si>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</si>
  <si>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</si>
  <si>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</si>
  <si>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</si>
  <si>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</si>
  <si>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</si>
  <si>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</si>
  <si>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</si>
  <si>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</si>
  <si>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</t>
  </si>
  <si>
    <t xml:space="preserve"> Pres. 2023 / diciembre 2023</t>
  </si>
  <si>
    <t>EJECUCIÓN A 30/09/2023</t>
  </si>
  <si>
    <t>PRESUPUESTO 2025</t>
  </si>
  <si>
    <t>224.03</t>
  </si>
  <si>
    <t>Retribución salariales servicios generales ( Dpto Admon )</t>
  </si>
  <si>
    <t>Equipamiento para procesos de informatica ( google, stratus)</t>
  </si>
  <si>
    <t>seguro servicio alquiler ( gps )</t>
  </si>
  <si>
    <t>Reprografía ( digitalización )</t>
  </si>
  <si>
    <t>Auditoría externa + auditoria calidad + prot datos</t>
  </si>
  <si>
    <t>227.08</t>
  </si>
  <si>
    <t>Colaboración COALZ</t>
  </si>
  <si>
    <t>PRESUPUESTO 2026</t>
  </si>
  <si>
    <t>Mantenimiento, mejoras y gestión ARQUIGÉS</t>
  </si>
  <si>
    <t>Cuota de tramitación ( visados)</t>
  </si>
  <si>
    <t>Cesión de uso Programa Arquiges y mejoras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</si>
</sst>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 ;[Red]\-#,##0.00\ "/>
    <numFmt numFmtId="165" formatCode="#,##0.00\ _€"/>
    <numFmt numFmtId="166" formatCode="#,##0.00\ &quot;€&quot;"/>
  </numFmts>
  <fonts count="64">
    <font>
      <sz val="10"/>
      <color rgb="FF000000"/>
      <name val="Arial"/>
    </font>
    <font>
      <sz val="10"/>
      <color rgb="FF000000"/>
      <name val="Calibri"/>
      <family val="2"/>
    </font>
    <font>
      <b/>
      <sz val="14"/>
      <color rgb="FF7A0000"/>
      <name val="Calibri"/>
      <family val="2"/>
    </font>
    <font>
      <sz val="11"/>
      <color rgb="FF1155CC"/>
      <name val="Inconsolata"/>
    </font>
    <font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b/>
      <sz val="10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12"/>
      <name val="Calibri"/>
      <family val="2"/>
    </font>
    <font>
      <b/>
      <sz val="11"/>
      <color rgb="FFFFFFFF"/>
      <name val="Calibri"/>
      <family val="2"/>
    </font>
    <font>
      <b/>
      <sz val="11"/>
      <name val="Calibri"/>
      <family val="2"/>
    </font>
    <font>
      <b/>
      <sz val="10"/>
      <color rgb="FF0066CC"/>
      <name val="Calibri"/>
      <family val="2"/>
    </font>
    <font>
      <sz val="10"/>
      <color rgb="FF0066CC"/>
      <name val="Calibri"/>
      <family val="2"/>
    </font>
    <font>
      <sz val="10"/>
      <color rgb="FFFF0000"/>
      <name val="Calibri"/>
      <family val="2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4A86E8"/>
      <name val="Calibri"/>
      <family val="2"/>
    </font>
    <font>
      <sz val="11"/>
      <color rgb="FF1155CC"/>
      <name val="Calibri"/>
      <family val="2"/>
    </font>
    <font>
      <sz val="11"/>
      <color rgb="FF000000"/>
      <name val="Calibri"/>
      <family val="2"/>
    </font>
    <font>
      <b/>
      <sz val="10"/>
      <color rgb="FFFF0000"/>
      <name val="Calibri"/>
      <family val="2"/>
    </font>
    <font>
      <sz val="12"/>
      <color rgb="FFFF0000"/>
      <name val="Calibri"/>
      <family val="2"/>
    </font>
    <font>
      <sz val="8"/>
      <color rgb="FF00CCFF"/>
      <name val="Calibri"/>
      <family val="2"/>
    </font>
    <font>
      <b/>
      <u/>
      <sz val="10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14"/>
      <color rgb="FFC00000"/>
      <name val="Calibri"/>
      <family val="2"/>
    </font>
    <font>
      <sz val="8"/>
      <color rgb="FF0066CC"/>
      <name val="Calibri"/>
      <family val="2"/>
    </font>
    <font>
      <b/>
      <sz val="9"/>
      <color rgb="FFFF0000"/>
      <name val="Calibri"/>
      <family val="2"/>
    </font>
    <font>
      <b/>
      <sz val="9"/>
      <color rgb="FF000000"/>
      <name val="Calibri"/>
      <family val="2"/>
    </font>
    <font>
      <sz val="9"/>
      <name val="Calibri"/>
      <family val="2"/>
    </font>
    <font>
      <sz val="9"/>
      <color rgb="FFFF0000"/>
      <name val="Calibri"/>
      <family val="2"/>
    </font>
    <font>
      <sz val="9"/>
      <color rgb="FF000000"/>
      <name val="Calibri"/>
      <family val="2"/>
    </font>
    <font>
      <b/>
      <sz val="11"/>
      <color rgb="FFFF0000"/>
      <name val="Calibri"/>
      <family val="2"/>
    </font>
    <font>
      <b/>
      <sz val="24"/>
      <color rgb="FF000000"/>
      <name val="Calibri"/>
      <family val="2"/>
    </font>
    <font>
      <sz val="8"/>
      <name val="Calibri"/>
      <family val="2"/>
    </font>
    <font>
      <sz val="10"/>
      <color theme="4" tint="-0.249977111117893"/>
      <name val="Calibri"/>
      <family val="2"/>
    </font>
    <font>
      <b/>
      <sz val="10"/>
      <color theme="4" tint="-0.249977111117893"/>
      <name val="Calibri"/>
      <family val="2"/>
    </font>
    <font>
      <sz val="8"/>
      <color theme="4" tint="-0.249977111117893"/>
      <name val="Calibri"/>
      <family val="2"/>
    </font>
    <font>
      <sz val="12"/>
      <color theme="4" tint="-0.249977111117893"/>
      <name val="Calibri"/>
      <family val="2"/>
    </font>
    <font>
      <b/>
      <sz val="8"/>
      <color theme="4" tint="-0.249977111117893"/>
      <name val="Calibri"/>
      <family val="2"/>
    </font>
    <font>
      <sz val="10"/>
      <color theme="4" tint="-0.249977111117893"/>
      <name val="Arial"/>
      <family val="2"/>
    </font>
    <font>
      <b/>
      <sz val="9"/>
      <color theme="4" tint="-0.249977111117893"/>
      <name val="Calibri"/>
      <family val="2"/>
    </font>
    <font>
      <sz val="9"/>
      <color theme="4" tint="-0.249977111117893"/>
      <name val="Calibri"/>
      <family val="2"/>
    </font>
    <font>
      <b/>
      <sz val="8"/>
      <color rgb="FFFF0000"/>
      <name val="Calibri"/>
      <family val="2"/>
    </font>
    <font>
      <b/>
      <sz val="9"/>
      <color theme="4"/>
      <name val="Calibri"/>
      <family val="2"/>
    </font>
    <font>
      <sz val="10"/>
      <color theme="4"/>
      <name val="Calibri"/>
      <family val="2"/>
    </font>
    <font>
      <sz val="8"/>
      <color theme="3"/>
      <name val="Calibri"/>
      <family val="2"/>
    </font>
    <font>
      <sz val="10"/>
      <color theme="3"/>
      <name val="Calibri"/>
      <family val="2"/>
    </font>
    <font>
      <b/>
      <sz val="10"/>
      <color theme="3"/>
      <name val="Calibri"/>
      <family val="2"/>
    </font>
    <font>
      <sz val="12"/>
      <color theme="3"/>
      <name val="Calibri"/>
      <family val="2"/>
    </font>
    <font>
      <b/>
      <sz val="8"/>
      <color theme="3"/>
      <name val="Calibri"/>
      <family val="2"/>
    </font>
    <font>
      <sz val="10"/>
      <color theme="3"/>
      <name val="Arial"/>
      <family val="2"/>
    </font>
    <font>
      <b/>
      <sz val="9"/>
      <color theme="3"/>
      <name val="Calibri"/>
      <family val="2"/>
    </font>
    <font>
      <sz val="9"/>
      <color theme="3"/>
      <name val="Calibri"/>
      <family val="2"/>
    </font>
    <font>
      <sz val="8"/>
      <color theme="5" tint="-0.249977111117893"/>
      <name val="Calibri"/>
      <family val="2"/>
    </font>
    <font>
      <sz val="8"/>
      <name val="Arial"/>
      <family val="2"/>
    </font>
    <font>
      <b/>
      <sz val="10"/>
      <name val="Calibri"/>
      <family val="2"/>
    </font>
    <font>
      <sz val="8"/>
      <name val="Arial"/>
      <family val="2"/>
    </font>
    <font>
      <b/>
      <sz val="16"/>
      <color rgb="FF000000"/>
      <name val="Amasis MT Pro Black"/>
      <family val="1"/>
    </font>
    <font>
      <b/>
      <u/>
      <sz val="14"/>
      <color rgb="FF000000"/>
      <name val="Calibri"/>
      <family val="2"/>
    </font>
    <font>
      <b/>
      <sz val="11"/>
      <color theme="1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CC2E5"/>
        <bgColor rgb="FF9CC2E5"/>
      </patternFill>
    </fill>
    <fill>
      <patternFill patternType="solid">
        <fgColor rgb="FFD8D8D8"/>
        <bgColor rgb="FFD8D8D8"/>
      </patternFill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E7E6E6"/>
        <bgColor rgb="FFE7E6E6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5" tint="-0.249977111117893"/>
        <bgColor rgb="FF9CC2E5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rgb="FF9CC2E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rgb="FFBDD6EE"/>
      </patternFill>
    </fill>
    <fill>
      <patternFill patternType="solid">
        <fgColor theme="5" tint="0.39997558519241921"/>
        <bgColor rgb="FFF2F2F2"/>
      </patternFill>
    </fill>
    <fill>
      <patternFill patternType="solid">
        <fgColor theme="5" tint="0.39997558519241921"/>
        <bgColor rgb="FFDEEAF6"/>
      </patternFill>
    </fill>
    <fill>
      <patternFill patternType="solid">
        <fgColor theme="5" tint="-0.249977111117893"/>
        <bgColor rgb="FFDEEAF6"/>
      </patternFill>
    </fill>
  </fills>
  <borders count="5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0" fontId="1" fillId="0" borderId="0" xfId="0" applyNumberFormat="1" applyFont="1"/>
    <xf numFmtId="0" fontId="2" fillId="0" borderId="0" xfId="0" applyFont="1" applyAlignment="1">
      <alignment horizontal="right" vertical="center"/>
    </xf>
    <xf numFmtId="0" fontId="3" fillId="2" borderId="1" xfId="0" applyFont="1" applyFill="1" applyBorder="1"/>
    <xf numFmtId="10" fontId="2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0" fontId="4" fillId="0" borderId="0" xfId="0" applyNumberFormat="1" applyFon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10" fontId="5" fillId="0" borderId="3" xfId="0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9" xfId="0" applyFont="1" applyBorder="1" applyAlignment="1">
      <alignment horizontal="center"/>
    </xf>
    <xf numFmtId="10" fontId="8" fillId="0" borderId="9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/>
    </xf>
    <xf numFmtId="10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12" fillId="3" borderId="14" xfId="0" applyFont="1" applyFill="1" applyBorder="1" applyAlignment="1">
      <alignment horizontal="center" vertical="center"/>
    </xf>
    <xf numFmtId="4" fontId="11" fillId="0" borderId="0" xfId="0" applyNumberFormat="1" applyFont="1"/>
    <xf numFmtId="0" fontId="12" fillId="3" borderId="14" xfId="0" applyFont="1" applyFill="1" applyBorder="1" applyAlignment="1">
      <alignment vertical="center"/>
    </xf>
    <xf numFmtId="164" fontId="13" fillId="4" borderId="14" xfId="0" applyNumberFormat="1" applyFont="1" applyFill="1" applyBorder="1" applyAlignment="1">
      <alignment horizontal="center" vertical="center"/>
    </xf>
    <xf numFmtId="164" fontId="13" fillId="0" borderId="14" xfId="0" applyNumberFormat="1" applyFont="1" applyBorder="1" applyAlignment="1">
      <alignment horizontal="center" vertical="center"/>
    </xf>
    <xf numFmtId="10" fontId="13" fillId="6" borderId="14" xfId="0" applyNumberFormat="1" applyFont="1" applyFill="1" applyBorder="1" applyAlignment="1">
      <alignment horizontal="center" vertical="center"/>
    </xf>
    <xf numFmtId="164" fontId="13" fillId="3" borderId="14" xfId="0" applyNumberFormat="1" applyFont="1" applyFill="1" applyBorder="1" applyAlignment="1">
      <alignment horizontal="center" vertical="center"/>
    </xf>
    <xf numFmtId="164" fontId="12" fillId="3" borderId="14" xfId="0" applyNumberFormat="1" applyFont="1" applyFill="1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horizontal="center" vertical="center"/>
    </xf>
    <xf numFmtId="164" fontId="14" fillId="4" borderId="1" xfId="0" applyNumberFormat="1" applyFont="1" applyFill="1" applyBorder="1" applyAlignment="1">
      <alignment horizontal="center"/>
    </xf>
    <xf numFmtId="164" fontId="14" fillId="0" borderId="0" xfId="0" applyNumberFormat="1" applyFont="1" applyAlignment="1">
      <alignment horizontal="center"/>
    </xf>
    <xf numFmtId="10" fontId="14" fillId="6" borderId="1" xfId="0" applyNumberFormat="1" applyFont="1" applyFill="1" applyBorder="1" applyAlignment="1">
      <alignment horizontal="center"/>
    </xf>
    <xf numFmtId="164" fontId="14" fillId="7" borderId="1" xfId="0" applyNumberFormat="1" applyFont="1" applyFill="1" applyBorder="1" applyAlignment="1">
      <alignment horizontal="center"/>
    </xf>
    <xf numFmtId="164" fontId="14" fillId="8" borderId="1" xfId="0" applyNumberFormat="1" applyFont="1" applyFill="1" applyBorder="1" applyAlignment="1">
      <alignment horizontal="center"/>
    </xf>
    <xf numFmtId="0" fontId="15" fillId="0" borderId="0" xfId="0" applyFont="1"/>
    <xf numFmtId="164" fontId="4" fillId="4" borderId="1" xfId="0" applyNumberFormat="1" applyFont="1" applyFill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0" fontId="4" fillId="6" borderId="1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4" fontId="4" fillId="8" borderId="1" xfId="0" applyNumberFormat="1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7" fillId="0" borderId="0" xfId="0" applyFont="1"/>
    <xf numFmtId="164" fontId="17" fillId="4" borderId="1" xfId="0" applyNumberFormat="1" applyFont="1" applyFill="1" applyBorder="1" applyAlignment="1">
      <alignment horizontal="center"/>
    </xf>
    <xf numFmtId="164" fontId="17" fillId="0" borderId="0" xfId="0" applyNumberFormat="1" applyFont="1" applyAlignment="1">
      <alignment horizontal="center"/>
    </xf>
    <xf numFmtId="10" fontId="17" fillId="6" borderId="1" xfId="0" applyNumberFormat="1" applyFont="1" applyFill="1" applyBorder="1" applyAlignment="1">
      <alignment horizontal="center"/>
    </xf>
    <xf numFmtId="164" fontId="17" fillId="7" borderId="1" xfId="0" applyNumberFormat="1" applyFont="1" applyFill="1" applyBorder="1" applyAlignment="1">
      <alignment horizontal="center"/>
    </xf>
    <xf numFmtId="164" fontId="17" fillId="8" borderId="1" xfId="0" applyNumberFormat="1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/>
    <xf numFmtId="164" fontId="9" fillId="4" borderId="1" xfId="0" applyNumberFormat="1" applyFont="1" applyFill="1" applyBorder="1" applyAlignment="1">
      <alignment horizontal="center"/>
    </xf>
    <xf numFmtId="10" fontId="9" fillId="6" borderId="1" xfId="0" applyNumberFormat="1" applyFont="1" applyFill="1" applyBorder="1" applyAlignment="1">
      <alignment horizontal="center"/>
    </xf>
    <xf numFmtId="164" fontId="9" fillId="8" borderId="1" xfId="0" applyNumberFormat="1" applyFont="1" applyFill="1" applyBorder="1" applyAlignment="1">
      <alignment horizontal="center"/>
    </xf>
    <xf numFmtId="164" fontId="9" fillId="7" borderId="1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0" fontId="20" fillId="2" borderId="1" xfId="0" applyFont="1" applyFill="1" applyBorder="1"/>
    <xf numFmtId="10" fontId="9" fillId="0" borderId="0" xfId="0" applyNumberFormat="1" applyFont="1"/>
    <xf numFmtId="0" fontId="21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164" fontId="12" fillId="4" borderId="14" xfId="0" applyNumberFormat="1" applyFont="1" applyFill="1" applyBorder="1" applyAlignment="1">
      <alignment horizontal="center" vertical="center"/>
    </xf>
    <xf numFmtId="164" fontId="12" fillId="8" borderId="14" xfId="0" applyNumberFormat="1" applyFont="1" applyFill="1" applyBorder="1" applyAlignment="1">
      <alignment horizontal="center" vertical="center"/>
    </xf>
    <xf numFmtId="164" fontId="13" fillId="8" borderId="14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10" fontId="11" fillId="0" borderId="0" xfId="0" applyNumberFormat="1" applyFont="1"/>
    <xf numFmtId="10" fontId="4" fillId="0" borderId="0" xfId="0" applyNumberFormat="1" applyFont="1" applyAlignment="1">
      <alignment horizontal="center"/>
    </xf>
    <xf numFmtId="164" fontId="14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164" fontId="4" fillId="2" borderId="1" xfId="0" applyNumberFormat="1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0" fontId="18" fillId="2" borderId="1" xfId="0" applyFont="1" applyFill="1" applyBorder="1"/>
    <xf numFmtId="0" fontId="24" fillId="0" borderId="0" xfId="0" applyFont="1"/>
    <xf numFmtId="0" fontId="24" fillId="2" borderId="1" xfId="0" applyFont="1" applyFill="1" applyBorder="1"/>
    <xf numFmtId="164" fontId="17" fillId="2" borderId="1" xfId="0" applyNumberFormat="1" applyFont="1" applyFill="1" applyBorder="1" applyAlignment="1">
      <alignment horizontal="center"/>
    </xf>
    <xf numFmtId="0" fontId="21" fillId="0" borderId="0" xfId="0" applyFont="1"/>
    <xf numFmtId="4" fontId="9" fillId="0" borderId="0" xfId="0" applyNumberFormat="1" applyFont="1" applyAlignment="1">
      <alignment horizontal="center"/>
    </xf>
    <xf numFmtId="164" fontId="7" fillId="8" borderId="1" xfId="0" applyNumberFormat="1" applyFont="1" applyFill="1" applyBorder="1" applyAlignment="1">
      <alignment horizontal="center"/>
    </xf>
    <xf numFmtId="0" fontId="16" fillId="0" borderId="0" xfId="0" applyFont="1"/>
    <xf numFmtId="4" fontId="4" fillId="0" borderId="0" xfId="0" applyNumberFormat="1" applyFont="1"/>
    <xf numFmtId="0" fontId="0" fillId="0" borderId="0" xfId="0" applyAlignment="1">
      <alignment horizontal="center" vertical="center"/>
    </xf>
    <xf numFmtId="10" fontId="0" fillId="0" borderId="0" xfId="0" applyNumberFormat="1"/>
    <xf numFmtId="16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5" fillId="0" borderId="0" xfId="0" applyFont="1"/>
    <xf numFmtId="4" fontId="4" fillId="0" borderId="17" xfId="0" applyNumberFormat="1" applyFont="1" applyBorder="1" applyAlignment="1">
      <alignment horizontal="center"/>
    </xf>
    <xf numFmtId="4" fontId="4" fillId="0" borderId="0" xfId="0" applyNumberFormat="1" applyFont="1" applyAlignment="1">
      <alignment horizontal="center"/>
    </xf>
    <xf numFmtId="4" fontId="4" fillId="0" borderId="18" xfId="0" applyNumberFormat="1" applyFont="1" applyBorder="1" applyAlignment="1">
      <alignment horizontal="center"/>
    </xf>
    <xf numFmtId="4" fontId="26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4" fontId="4" fillId="0" borderId="16" xfId="0" applyNumberFormat="1" applyFont="1" applyBorder="1" applyAlignment="1">
      <alignment horizontal="center"/>
    </xf>
    <xf numFmtId="4" fontId="4" fillId="0" borderId="9" xfId="0" applyNumberFormat="1" applyFont="1" applyBorder="1" applyAlignment="1">
      <alignment horizontal="center"/>
    </xf>
    <xf numFmtId="0" fontId="26" fillId="0" borderId="0" xfId="0" applyFont="1"/>
    <xf numFmtId="4" fontId="4" fillId="0" borderId="6" xfId="0" applyNumberFormat="1" applyFont="1" applyBorder="1"/>
    <xf numFmtId="10" fontId="13" fillId="0" borderId="14" xfId="0" applyNumberFormat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/>
    </xf>
    <xf numFmtId="4" fontId="4" fillId="0" borderId="3" xfId="0" applyNumberFormat="1" applyFont="1" applyBorder="1" applyAlignment="1">
      <alignment horizontal="center"/>
    </xf>
    <xf numFmtId="10" fontId="14" fillId="0" borderId="0" xfId="0" applyNumberFormat="1" applyFont="1" applyAlignment="1">
      <alignment horizontal="center"/>
    </xf>
    <xf numFmtId="164" fontId="4" fillId="0" borderId="0" xfId="0" applyNumberFormat="1" applyFont="1"/>
    <xf numFmtId="0" fontId="28" fillId="0" borderId="0" xfId="0" applyFont="1" applyAlignment="1">
      <alignment horizontal="right" vertical="center"/>
    </xf>
    <xf numFmtId="10" fontId="28" fillId="0" borderId="0" xfId="0" applyNumberFormat="1" applyFont="1" applyAlignment="1">
      <alignment horizontal="right" vertical="center"/>
    </xf>
    <xf numFmtId="4" fontId="26" fillId="0" borderId="25" xfId="0" applyNumberFormat="1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4" fontId="4" fillId="0" borderId="12" xfId="0" applyNumberFormat="1" applyFont="1" applyBorder="1"/>
    <xf numFmtId="164" fontId="13" fillId="0" borderId="0" xfId="0" applyNumberFormat="1" applyFont="1" applyAlignment="1">
      <alignment horizontal="center"/>
    </xf>
    <xf numFmtId="164" fontId="14" fillId="10" borderId="1" xfId="0" applyNumberFormat="1" applyFont="1" applyFill="1" applyBorder="1" applyAlignment="1">
      <alignment horizontal="center"/>
    </xf>
    <xf numFmtId="4" fontId="9" fillId="4" borderId="1" xfId="0" applyNumberFormat="1" applyFont="1" applyFill="1" applyBorder="1" applyAlignment="1">
      <alignment horizontal="center"/>
    </xf>
    <xf numFmtId="4" fontId="9" fillId="7" borderId="1" xfId="0" applyNumberFormat="1" applyFont="1" applyFill="1" applyBorder="1" applyAlignment="1">
      <alignment horizontal="center"/>
    </xf>
    <xf numFmtId="4" fontId="9" fillId="8" borderId="1" xfId="0" applyNumberFormat="1" applyFont="1" applyFill="1" applyBorder="1" applyAlignment="1">
      <alignment horizontal="center"/>
    </xf>
    <xf numFmtId="0" fontId="29" fillId="0" borderId="0" xfId="0" applyFont="1"/>
    <xf numFmtId="4" fontId="21" fillId="0" borderId="0" xfId="0" applyNumberFormat="1" applyFont="1" applyAlignment="1">
      <alignment horizontal="right"/>
    </xf>
    <xf numFmtId="4" fontId="4" fillId="4" borderId="1" xfId="0" applyNumberFormat="1" applyFont="1" applyFill="1" applyBorder="1" applyAlignment="1">
      <alignment horizontal="center"/>
    </xf>
    <xf numFmtId="4" fontId="4" fillId="7" borderId="1" xfId="0" applyNumberFormat="1" applyFont="1" applyFill="1" applyBorder="1" applyAlignment="1">
      <alignment horizontal="center"/>
    </xf>
    <xf numFmtId="4" fontId="4" fillId="8" borderId="1" xfId="0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4" fontId="4" fillId="7" borderId="26" xfId="0" applyNumberFormat="1" applyFont="1" applyFill="1" applyBorder="1" applyAlignment="1">
      <alignment horizontal="center" vertical="center"/>
    </xf>
    <xf numFmtId="4" fontId="4" fillId="7" borderId="27" xfId="0" applyNumberFormat="1" applyFont="1" applyFill="1" applyBorder="1" applyAlignment="1">
      <alignment horizontal="center" vertical="center"/>
    </xf>
    <xf numFmtId="4" fontId="5" fillId="7" borderId="21" xfId="0" applyNumberFormat="1" applyFont="1" applyFill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4" fontId="5" fillId="0" borderId="7" xfId="0" applyNumberFormat="1" applyFont="1" applyBorder="1" applyAlignment="1">
      <alignment horizontal="center" vertical="center"/>
    </xf>
    <xf numFmtId="10" fontId="5" fillId="6" borderId="20" xfId="0" applyNumberFormat="1" applyFont="1" applyFill="1" applyBorder="1" applyAlignment="1">
      <alignment horizontal="center" vertical="center"/>
    </xf>
    <xf numFmtId="4" fontId="5" fillId="7" borderId="1" xfId="0" applyNumberFormat="1" applyFont="1" applyFill="1" applyBorder="1" applyAlignment="1">
      <alignment horizontal="center" vertical="center"/>
    </xf>
    <xf numFmtId="4" fontId="4" fillId="8" borderId="26" xfId="0" applyNumberFormat="1" applyFont="1" applyFill="1" applyBorder="1" applyAlignment="1">
      <alignment horizontal="center" vertical="center"/>
    </xf>
    <xf numFmtId="4" fontId="4" fillId="8" borderId="27" xfId="0" applyNumberFormat="1" applyFont="1" applyFill="1" applyBorder="1" applyAlignment="1">
      <alignment horizontal="center" vertical="center"/>
    </xf>
    <xf numFmtId="4" fontId="5" fillId="8" borderId="2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/>
    </xf>
    <xf numFmtId="4" fontId="4" fillId="7" borderId="28" xfId="0" applyNumberFormat="1" applyFont="1" applyFill="1" applyBorder="1" applyAlignment="1">
      <alignment horizontal="center" vertical="center"/>
    </xf>
    <xf numFmtId="4" fontId="4" fillId="7" borderId="1" xfId="0" applyNumberFormat="1" applyFont="1" applyFill="1" applyBorder="1" applyAlignment="1">
      <alignment horizontal="center" vertical="center"/>
    </xf>
    <xf numFmtId="4" fontId="5" fillId="7" borderId="29" xfId="0" applyNumberFormat="1" applyFont="1" applyFill="1" applyBorder="1" applyAlignment="1">
      <alignment horizontal="center" vertical="center"/>
    </xf>
    <xf numFmtId="4" fontId="5" fillId="0" borderId="24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0" borderId="19" xfId="0" applyNumberFormat="1" applyFont="1" applyBorder="1" applyAlignment="1">
      <alignment horizontal="center" vertical="center"/>
    </xf>
    <xf numFmtId="10" fontId="5" fillId="6" borderId="30" xfId="0" applyNumberFormat="1" applyFont="1" applyFill="1" applyBorder="1" applyAlignment="1">
      <alignment horizontal="center" vertical="center"/>
    </xf>
    <xf numFmtId="4" fontId="4" fillId="8" borderId="28" xfId="0" applyNumberFormat="1" applyFont="1" applyFill="1" applyBorder="1" applyAlignment="1">
      <alignment horizontal="center" vertical="center"/>
    </xf>
    <xf numFmtId="4" fontId="4" fillId="8" borderId="1" xfId="0" applyNumberFormat="1" applyFont="1" applyFill="1" applyBorder="1" applyAlignment="1">
      <alignment horizontal="center" vertical="center"/>
    </xf>
    <xf numFmtId="4" fontId="5" fillId="8" borderId="29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4" fontId="4" fillId="7" borderId="31" xfId="0" applyNumberFormat="1" applyFont="1" applyFill="1" applyBorder="1" applyAlignment="1">
      <alignment horizontal="center" vertical="center"/>
    </xf>
    <xf numFmtId="4" fontId="4" fillId="7" borderId="32" xfId="0" applyNumberFormat="1" applyFont="1" applyFill="1" applyBorder="1" applyAlignment="1">
      <alignment horizontal="center" vertical="center"/>
    </xf>
    <xf numFmtId="4" fontId="5" fillId="7" borderId="23" xfId="0" applyNumberFormat="1" applyFont="1" applyFill="1" applyBorder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/>
    </xf>
    <xf numFmtId="4" fontId="5" fillId="0" borderId="12" xfId="0" applyNumberFormat="1" applyFont="1" applyBorder="1" applyAlignment="1">
      <alignment horizontal="center" vertical="center"/>
    </xf>
    <xf numFmtId="4" fontId="5" fillId="0" borderId="13" xfId="0" applyNumberFormat="1" applyFont="1" applyBorder="1" applyAlignment="1">
      <alignment horizontal="center" vertical="center"/>
    </xf>
    <xf numFmtId="10" fontId="5" fillId="6" borderId="22" xfId="0" applyNumberFormat="1" applyFont="1" applyFill="1" applyBorder="1" applyAlignment="1">
      <alignment horizontal="center" vertical="center"/>
    </xf>
    <xf numFmtId="4" fontId="4" fillId="8" borderId="31" xfId="0" applyNumberFormat="1" applyFont="1" applyFill="1" applyBorder="1" applyAlignment="1">
      <alignment horizontal="center" vertical="center"/>
    </xf>
    <xf numFmtId="4" fontId="4" fillId="8" borderId="32" xfId="0" applyNumberFormat="1" applyFont="1" applyFill="1" applyBorder="1" applyAlignment="1">
      <alignment horizontal="center" vertical="center"/>
    </xf>
    <xf numFmtId="4" fontId="5" fillId="8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4" fontId="13" fillId="0" borderId="0" xfId="0" applyNumberFormat="1" applyFont="1" applyAlignment="1">
      <alignment horizontal="center"/>
    </xf>
    <xf numFmtId="10" fontId="13" fillId="0" borderId="0" xfId="0" applyNumberFormat="1" applyFont="1" applyAlignment="1">
      <alignment horizontal="center"/>
    </xf>
    <xf numFmtId="4" fontId="13" fillId="7" borderId="1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4" fontId="13" fillId="7" borderId="33" xfId="0" applyNumberFormat="1" applyFont="1" applyFill="1" applyBorder="1" applyAlignment="1">
      <alignment horizontal="center"/>
    </xf>
    <xf numFmtId="4" fontId="13" fillId="7" borderId="34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4" fontId="13" fillId="0" borderId="36" xfId="0" applyNumberFormat="1" applyFont="1" applyBorder="1" applyAlignment="1">
      <alignment horizontal="center"/>
    </xf>
    <xf numFmtId="4" fontId="13" fillId="0" borderId="37" xfId="0" applyNumberFormat="1" applyFont="1" applyBorder="1" applyAlignment="1">
      <alignment horizontal="center"/>
    </xf>
    <xf numFmtId="4" fontId="13" fillId="0" borderId="38" xfId="0" applyNumberFormat="1" applyFont="1" applyBorder="1" applyAlignment="1">
      <alignment horizontal="center"/>
    </xf>
    <xf numFmtId="10" fontId="13" fillId="6" borderId="39" xfId="0" applyNumberFormat="1" applyFont="1" applyFill="1" applyBorder="1" applyAlignment="1">
      <alignment horizontal="center"/>
    </xf>
    <xf numFmtId="4" fontId="13" fillId="8" borderId="33" xfId="0" applyNumberFormat="1" applyFont="1" applyFill="1" applyBorder="1" applyAlignment="1">
      <alignment horizontal="center"/>
    </xf>
    <xf numFmtId="4" fontId="13" fillId="8" borderId="34" xfId="0" applyNumberFormat="1" applyFont="1" applyFill="1" applyBorder="1" applyAlignment="1">
      <alignment horizontal="center"/>
    </xf>
    <xf numFmtId="4" fontId="13" fillId="8" borderId="35" xfId="0" applyNumberFormat="1" applyFont="1" applyFill="1" applyBorder="1" applyAlignment="1">
      <alignment horizontal="center"/>
    </xf>
    <xf numFmtId="10" fontId="13" fillId="0" borderId="0" xfId="0" applyNumberFormat="1" applyFont="1"/>
    <xf numFmtId="0" fontId="32" fillId="0" borderId="0" xfId="0" applyFont="1" applyAlignment="1">
      <alignment horizontal="center"/>
    </xf>
    <xf numFmtId="0" fontId="8" fillId="0" borderId="0" xfId="0" applyFont="1"/>
    <xf numFmtId="0" fontId="32" fillId="0" borderId="0" xfId="0" applyFont="1"/>
    <xf numFmtId="0" fontId="33" fillId="0" borderId="0" xfId="0" applyFont="1" applyAlignment="1">
      <alignment horizontal="left"/>
    </xf>
    <xf numFmtId="4" fontId="8" fillId="0" borderId="0" xfId="0" applyNumberFormat="1" applyFont="1" applyAlignment="1">
      <alignment horizontal="center"/>
    </xf>
    <xf numFmtId="10" fontId="32" fillId="0" borderId="0" xfId="0" applyNumberFormat="1" applyFont="1"/>
    <xf numFmtId="0" fontId="34" fillId="0" borderId="0" xfId="0" applyFont="1"/>
    <xf numFmtId="0" fontId="5" fillId="0" borderId="39" xfId="0" applyFont="1" applyBorder="1" applyAlignment="1">
      <alignment horizontal="left" vertical="center"/>
    </xf>
    <xf numFmtId="4" fontId="27" fillId="7" borderId="33" xfId="0" applyNumberFormat="1" applyFont="1" applyFill="1" applyBorder="1" applyAlignment="1">
      <alignment horizontal="center"/>
    </xf>
    <xf numFmtId="4" fontId="27" fillId="7" borderId="34" xfId="0" applyNumberFormat="1" applyFont="1" applyFill="1" applyBorder="1" applyAlignment="1">
      <alignment horizontal="center"/>
    </xf>
    <xf numFmtId="4" fontId="27" fillId="7" borderId="35" xfId="0" applyNumberFormat="1" applyFont="1" applyFill="1" applyBorder="1" applyAlignment="1">
      <alignment horizontal="center"/>
    </xf>
    <xf numFmtId="4" fontId="27" fillId="0" borderId="36" xfId="0" applyNumberFormat="1" applyFont="1" applyBorder="1" applyAlignment="1">
      <alignment horizontal="center"/>
    </xf>
    <xf numFmtId="4" fontId="27" fillId="0" borderId="37" xfId="0" applyNumberFormat="1" applyFont="1" applyBorder="1" applyAlignment="1">
      <alignment horizontal="center"/>
    </xf>
    <xf numFmtId="4" fontId="27" fillId="0" borderId="38" xfId="0" applyNumberFormat="1" applyFont="1" applyBorder="1" applyAlignment="1">
      <alignment horizontal="center"/>
    </xf>
    <xf numFmtId="10" fontId="27" fillId="6" borderId="39" xfId="0" applyNumberFormat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164" fontId="35" fillId="0" borderId="0" xfId="0" applyNumberFormat="1" applyFont="1" applyAlignment="1">
      <alignment horizontal="left"/>
    </xf>
    <xf numFmtId="10" fontId="4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4" fontId="12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10" fontId="26" fillId="0" borderId="0" xfId="0" applyNumberFormat="1" applyFont="1" applyAlignment="1">
      <alignment horizontal="center"/>
    </xf>
    <xf numFmtId="164" fontId="4" fillId="11" borderId="20" xfId="0" applyNumberFormat="1" applyFont="1" applyFill="1" applyBorder="1" applyAlignment="1">
      <alignment horizontal="center" vertical="center" wrapText="1"/>
    </xf>
    <xf numFmtId="164" fontId="4" fillId="11" borderId="2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/>
    <xf numFmtId="164" fontId="4" fillId="12" borderId="25" xfId="0" applyNumberFormat="1" applyFont="1" applyFill="1" applyBorder="1" applyAlignment="1">
      <alignment horizontal="center" vertical="center" wrapText="1"/>
    </xf>
    <xf numFmtId="4" fontId="13" fillId="9" borderId="25" xfId="0" applyNumberFormat="1" applyFont="1" applyFill="1" applyBorder="1" applyAlignment="1">
      <alignment horizontal="center"/>
    </xf>
    <xf numFmtId="164" fontId="13" fillId="0" borderId="25" xfId="0" applyNumberFormat="1" applyFont="1" applyBorder="1" applyAlignment="1">
      <alignment horizontal="center"/>
    </xf>
    <xf numFmtId="0" fontId="36" fillId="0" borderId="0" xfId="0" applyFont="1"/>
    <xf numFmtId="164" fontId="9" fillId="0" borderId="0" xfId="0" applyNumberFormat="1" applyFont="1"/>
    <xf numFmtId="0" fontId="22" fillId="0" borderId="1" xfId="0" applyFont="1" applyBorder="1" applyAlignment="1">
      <alignment horizontal="left"/>
    </xf>
    <xf numFmtId="0" fontId="9" fillId="0" borderId="1" xfId="0" applyFont="1" applyBorder="1"/>
    <xf numFmtId="164" fontId="4" fillId="0" borderId="20" xfId="0" applyNumberFormat="1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0" fontId="37" fillId="0" borderId="0" xfId="0" applyFont="1"/>
    <xf numFmtId="0" fontId="38" fillId="0" borderId="0" xfId="0" applyFont="1"/>
    <xf numFmtId="0" fontId="39" fillId="0" borderId="1" xfId="0" applyFont="1" applyBorder="1" applyAlignment="1">
      <alignment horizontal="center"/>
    </xf>
    <xf numFmtId="0" fontId="39" fillId="0" borderId="0" xfId="0" applyFont="1"/>
    <xf numFmtId="0" fontId="40" fillId="0" borderId="0" xfId="0" applyFont="1"/>
    <xf numFmtId="4" fontId="41" fillId="0" borderId="0" xfId="0" applyNumberFormat="1" applyFont="1"/>
    <xf numFmtId="0" fontId="42" fillId="5" borderId="1" xfId="0" applyFont="1" applyFill="1" applyBorder="1" applyAlignment="1">
      <alignment horizontal="center"/>
    </xf>
    <xf numFmtId="0" fontId="40" fillId="0" borderId="1" xfId="0" applyFont="1" applyBorder="1"/>
    <xf numFmtId="0" fontId="43" fillId="0" borderId="0" xfId="0" applyFont="1"/>
    <xf numFmtId="4" fontId="38" fillId="0" borderId="0" xfId="0" applyNumberFormat="1" applyFont="1"/>
    <xf numFmtId="0" fontId="40" fillId="0" borderId="0" xfId="0" applyFont="1" applyAlignment="1">
      <alignment horizontal="left"/>
    </xf>
    <xf numFmtId="0" fontId="44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0" fontId="45" fillId="0" borderId="0" xfId="0" applyFont="1"/>
    <xf numFmtId="0" fontId="42" fillId="0" borderId="1" xfId="0" applyFont="1" applyBorder="1" applyAlignment="1">
      <alignment horizontal="center"/>
    </xf>
    <xf numFmtId="166" fontId="1" fillId="0" borderId="0" xfId="0" applyNumberFormat="1" applyFont="1" applyAlignment="1">
      <alignment horizontal="right"/>
    </xf>
    <xf numFmtId="166" fontId="4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166" fontId="5" fillId="0" borderId="0" xfId="0" applyNumberFormat="1" applyFont="1" applyAlignment="1">
      <alignment horizontal="right"/>
    </xf>
    <xf numFmtId="166" fontId="9" fillId="0" borderId="0" xfId="0" applyNumberFormat="1" applyFont="1" applyAlignment="1">
      <alignment horizontal="right"/>
    </xf>
    <xf numFmtId="166" fontId="11" fillId="0" borderId="0" xfId="0" applyNumberFormat="1" applyFont="1" applyAlignment="1">
      <alignment horizontal="right"/>
    </xf>
    <xf numFmtId="166" fontId="18" fillId="0" borderId="0" xfId="0" applyNumberFormat="1" applyFont="1" applyAlignment="1">
      <alignment horizontal="right"/>
    </xf>
    <xf numFmtId="166" fontId="19" fillId="0" borderId="0" xfId="0" applyNumberFormat="1" applyFont="1" applyAlignment="1">
      <alignment horizontal="right"/>
    </xf>
    <xf numFmtId="166" fontId="5" fillId="0" borderId="1" xfId="0" applyNumberFormat="1" applyFont="1" applyBorder="1" applyAlignment="1">
      <alignment horizontal="right"/>
    </xf>
    <xf numFmtId="166" fontId="5" fillId="5" borderId="1" xfId="0" applyNumberFormat="1" applyFont="1" applyFill="1" applyBorder="1" applyAlignment="1">
      <alignment horizontal="right"/>
    </xf>
    <xf numFmtId="166" fontId="9" fillId="0" borderId="1" xfId="0" applyNumberFormat="1" applyFont="1" applyBorder="1" applyAlignment="1">
      <alignment horizontal="right"/>
    </xf>
    <xf numFmtId="166" fontId="29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 vertical="center"/>
    </xf>
    <xf numFmtId="166" fontId="48" fillId="0" borderId="48" xfId="0" applyNumberFormat="1" applyFont="1" applyBorder="1" applyAlignment="1">
      <alignment horizontal="right"/>
    </xf>
    <xf numFmtId="166" fontId="48" fillId="0" borderId="48" xfId="0" applyNumberFormat="1" applyFont="1" applyBorder="1" applyAlignment="1">
      <alignment horizontal="right" vertical="center"/>
    </xf>
    <xf numFmtId="166" fontId="48" fillId="0" borderId="0" xfId="0" applyNumberFormat="1" applyFont="1" applyAlignment="1">
      <alignment horizontal="right"/>
    </xf>
    <xf numFmtId="166" fontId="47" fillId="0" borderId="0" xfId="0" applyNumberFormat="1" applyFont="1" applyAlignment="1">
      <alignment horizontal="right" vertical="center"/>
    </xf>
    <xf numFmtId="166" fontId="32" fillId="0" borderId="0" xfId="0" applyNumberFormat="1" applyFont="1" applyAlignment="1">
      <alignment horizontal="right"/>
    </xf>
    <xf numFmtId="166" fontId="0" fillId="13" borderId="48" xfId="0" applyNumberFormat="1" applyFill="1" applyBorder="1" applyAlignment="1">
      <alignment horizontal="right"/>
    </xf>
    <xf numFmtId="166" fontId="48" fillId="13" borderId="48" xfId="0" applyNumberFormat="1" applyFont="1" applyFill="1" applyBorder="1" applyAlignment="1">
      <alignment horizontal="right" vertical="center"/>
    </xf>
    <xf numFmtId="166" fontId="47" fillId="13" borderId="48" xfId="0" applyNumberFormat="1" applyFont="1" applyFill="1" applyBorder="1" applyAlignment="1">
      <alignment horizontal="right" vertical="center"/>
    </xf>
    <xf numFmtId="165" fontId="1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6" fillId="0" borderId="0" xfId="0" applyNumberFormat="1" applyFont="1" applyAlignment="1">
      <alignment horizontal="right"/>
    </xf>
    <xf numFmtId="165" fontId="18" fillId="0" borderId="0" xfId="0" applyNumberFormat="1" applyFont="1" applyAlignment="1">
      <alignment horizontal="right"/>
    </xf>
    <xf numFmtId="165" fontId="22" fillId="0" borderId="1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5" fontId="23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165" fontId="0" fillId="0" borderId="0" xfId="0" applyNumberFormat="1" applyAlignment="1">
      <alignment horizontal="right"/>
    </xf>
    <xf numFmtId="165" fontId="30" fillId="0" borderId="0" xfId="0" applyNumberFormat="1" applyFont="1" applyAlignment="1">
      <alignment horizontal="right" vertical="center"/>
    </xf>
    <xf numFmtId="165" fontId="33" fillId="0" borderId="0" xfId="0" applyNumberFormat="1" applyFont="1" applyAlignment="1">
      <alignment horizontal="right"/>
    </xf>
    <xf numFmtId="165" fontId="35" fillId="0" borderId="0" xfId="0" applyNumberFormat="1" applyFont="1" applyAlignment="1">
      <alignment horizontal="right"/>
    </xf>
    <xf numFmtId="165" fontId="30" fillId="0" borderId="48" xfId="0" applyNumberFormat="1" applyFont="1" applyBorder="1" applyAlignment="1">
      <alignment horizontal="right" vertical="center"/>
    </xf>
    <xf numFmtId="165" fontId="16" fillId="0" borderId="48" xfId="0" applyNumberFormat="1" applyFont="1" applyBorder="1" applyAlignment="1">
      <alignment horizontal="right"/>
    </xf>
    <xf numFmtId="165" fontId="16" fillId="0" borderId="48" xfId="0" applyNumberFormat="1" applyFont="1" applyBorder="1" applyAlignment="1">
      <alignment horizontal="right" vertical="center"/>
    </xf>
    <xf numFmtId="166" fontId="4" fillId="0" borderId="48" xfId="0" applyNumberFormat="1" applyFont="1" applyBorder="1" applyAlignment="1">
      <alignment horizontal="right" vertical="center"/>
    </xf>
    <xf numFmtId="166" fontId="4" fillId="0" borderId="48" xfId="0" applyNumberFormat="1" applyFont="1" applyBorder="1" applyAlignment="1">
      <alignment horizontal="right"/>
    </xf>
    <xf numFmtId="0" fontId="49" fillId="0" borderId="0" xfId="0" applyFont="1"/>
    <xf numFmtId="0" fontId="6" fillId="0" borderId="0" xfId="0" applyFont="1"/>
    <xf numFmtId="0" fontId="4" fillId="13" borderId="0" xfId="0" applyFont="1" applyFill="1" applyAlignment="1">
      <alignment horizontal="center" vertical="center"/>
    </xf>
    <xf numFmtId="0" fontId="5" fillId="13" borderId="18" xfId="0" applyFont="1" applyFill="1" applyBorder="1" applyAlignment="1">
      <alignment horizontal="center" vertical="center"/>
    </xf>
    <xf numFmtId="0" fontId="4" fillId="13" borderId="0" xfId="0" applyFont="1" applyFill="1" applyAlignment="1">
      <alignment horizontal="left" vertical="center"/>
    </xf>
    <xf numFmtId="0" fontId="5" fillId="13" borderId="18" xfId="0" applyFont="1" applyFill="1" applyBorder="1" applyAlignment="1">
      <alignment horizontal="left" vertical="center"/>
    </xf>
    <xf numFmtId="0" fontId="38" fillId="13" borderId="0" xfId="0" applyFont="1" applyFill="1" applyAlignment="1">
      <alignment horizontal="center" vertical="center"/>
    </xf>
    <xf numFmtId="165" fontId="16" fillId="13" borderId="48" xfId="0" applyNumberFormat="1" applyFont="1" applyFill="1" applyBorder="1" applyAlignment="1">
      <alignment horizontal="right" vertical="center"/>
    </xf>
    <xf numFmtId="0" fontId="5" fillId="13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0" fillId="13" borderId="0" xfId="0" applyFill="1"/>
    <xf numFmtId="0" fontId="5" fillId="13" borderId="9" xfId="0" applyFont="1" applyFill="1" applyBorder="1" applyAlignment="1">
      <alignment horizontal="center" vertical="center"/>
    </xf>
    <xf numFmtId="0" fontId="5" fillId="13" borderId="9" xfId="0" applyFont="1" applyFill="1" applyBorder="1" applyAlignment="1">
      <alignment horizontal="left" vertical="center"/>
    </xf>
    <xf numFmtId="166" fontId="48" fillId="0" borderId="47" xfId="0" applyNumberFormat="1" applyFont="1" applyBorder="1" applyAlignment="1">
      <alignment horizontal="right" vertical="center"/>
    </xf>
    <xf numFmtId="165" fontId="16" fillId="0" borderId="47" xfId="0" applyNumberFormat="1" applyFont="1" applyBorder="1" applyAlignment="1">
      <alignment horizontal="right" vertical="center"/>
    </xf>
    <xf numFmtId="0" fontId="50" fillId="0" borderId="0" xfId="0" applyFont="1"/>
    <xf numFmtId="0" fontId="37" fillId="0" borderId="0" xfId="0" applyFont="1" applyAlignment="1">
      <alignment wrapText="1"/>
    </xf>
    <xf numFmtId="10" fontId="9" fillId="14" borderId="1" xfId="0" applyNumberFormat="1" applyFont="1" applyFill="1" applyBorder="1" applyAlignment="1">
      <alignment horizontal="center"/>
    </xf>
    <xf numFmtId="164" fontId="14" fillId="15" borderId="1" xfId="0" applyNumberFormat="1" applyFont="1" applyFill="1" applyBorder="1" applyAlignment="1">
      <alignment horizontal="center"/>
    </xf>
    <xf numFmtId="10" fontId="14" fillId="14" borderId="0" xfId="0" applyNumberFormat="1" applyFont="1" applyFill="1" applyAlignment="1">
      <alignment horizontal="center"/>
    </xf>
    <xf numFmtId="10" fontId="9" fillId="14" borderId="0" xfId="0" applyNumberFormat="1" applyFont="1" applyFill="1" applyAlignment="1">
      <alignment horizontal="center"/>
    </xf>
    <xf numFmtId="0" fontId="51" fillId="0" borderId="1" xfId="0" applyFont="1" applyBorder="1" applyAlignment="1">
      <alignment horizontal="center"/>
    </xf>
    <xf numFmtId="0" fontId="51" fillId="0" borderId="0" xfId="0" applyFont="1"/>
    <xf numFmtId="4" fontId="52" fillId="0" borderId="0" xfId="0" applyNumberFormat="1" applyFont="1"/>
    <xf numFmtId="0" fontId="53" fillId="5" borderId="1" xfId="0" applyFont="1" applyFill="1" applyBorder="1" applyAlignment="1">
      <alignment horizontal="center"/>
    </xf>
    <xf numFmtId="0" fontId="49" fillId="0" borderId="1" xfId="0" applyFont="1" applyBorder="1"/>
    <xf numFmtId="0" fontId="54" fillId="0" borderId="0" xfId="0" applyFont="1"/>
    <xf numFmtId="4" fontId="50" fillId="0" borderId="0" xfId="0" applyNumberFormat="1" applyFont="1"/>
    <xf numFmtId="0" fontId="49" fillId="0" borderId="0" xfId="0" applyFont="1" applyAlignment="1">
      <alignment horizontal="left"/>
    </xf>
    <xf numFmtId="0" fontId="55" fillId="0" borderId="0" xfId="0" applyFont="1" applyAlignment="1">
      <alignment vertical="center"/>
    </xf>
    <xf numFmtId="0" fontId="50" fillId="0" borderId="0" xfId="0" applyFont="1" applyAlignment="1">
      <alignment horizontal="center" vertical="center"/>
    </xf>
    <xf numFmtId="0" fontId="56" fillId="0" borderId="0" xfId="0" applyFont="1"/>
    <xf numFmtId="0" fontId="57" fillId="0" borderId="0" xfId="0" applyFont="1"/>
    <xf numFmtId="164" fontId="9" fillId="4" borderId="47" xfId="0" applyNumberFormat="1" applyFont="1" applyFill="1" applyBorder="1" applyAlignment="1">
      <alignment horizontal="center"/>
    </xf>
    <xf numFmtId="0" fontId="59" fillId="0" borderId="0" xfId="0" applyFont="1"/>
    <xf numFmtId="0" fontId="61" fillId="0" borderId="0" xfId="0" applyFont="1" applyAlignment="1">
      <alignment horizontal="right"/>
    </xf>
    <xf numFmtId="0" fontId="62" fillId="0" borderId="0" xfId="0" applyFont="1"/>
    <xf numFmtId="0" fontId="2" fillId="0" borderId="47" xfId="0" applyFont="1" applyBorder="1" applyAlignment="1">
      <alignment horizontal="center" vertical="center"/>
    </xf>
    <xf numFmtId="4" fontId="1" fillId="0" borderId="0" xfId="0" applyNumberFormat="1" applyFont="1"/>
    <xf numFmtId="164" fontId="18" fillId="4" borderId="1" xfId="0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6" fillId="0" borderId="9" xfId="0" applyFont="1" applyBorder="1"/>
    <xf numFmtId="164" fontId="9" fillId="0" borderId="47" xfId="0" applyNumberFormat="1" applyFont="1" applyBorder="1" applyAlignment="1">
      <alignment horizontal="center"/>
    </xf>
    <xf numFmtId="164" fontId="13" fillId="0" borderId="47" xfId="0" applyNumberFormat="1" applyFont="1" applyBorder="1" applyAlignment="1">
      <alignment horizontal="center" vertical="center"/>
    </xf>
    <xf numFmtId="164" fontId="4" fillId="0" borderId="47" xfId="0" applyNumberFormat="1" applyFont="1" applyBorder="1" applyAlignment="1">
      <alignment horizontal="center"/>
    </xf>
    <xf numFmtId="0" fontId="4" fillId="0" borderId="47" xfId="0" applyFont="1" applyBorder="1" applyAlignment="1">
      <alignment vertical="center"/>
    </xf>
    <xf numFmtId="0" fontId="4" fillId="0" borderId="47" xfId="0" applyFont="1" applyBorder="1"/>
    <xf numFmtId="164" fontId="14" fillId="0" borderId="47" xfId="0" applyNumberFormat="1" applyFont="1" applyBorder="1" applyAlignment="1">
      <alignment horizontal="center"/>
    </xf>
    <xf numFmtId="164" fontId="12" fillId="0" borderId="47" xfId="0" applyNumberFormat="1" applyFont="1" applyBorder="1" applyAlignment="1">
      <alignment horizontal="center" vertical="center"/>
    </xf>
    <xf numFmtId="4" fontId="4" fillId="0" borderId="47" xfId="0" applyNumberFormat="1" applyFont="1" applyBorder="1" applyAlignment="1">
      <alignment horizontal="center"/>
    </xf>
    <xf numFmtId="4" fontId="9" fillId="0" borderId="47" xfId="0" applyNumberFormat="1" applyFont="1" applyBorder="1" applyAlignment="1">
      <alignment horizontal="center"/>
    </xf>
    <xf numFmtId="4" fontId="5" fillId="0" borderId="47" xfId="0" applyNumberFormat="1" applyFont="1" applyBorder="1" applyAlignment="1">
      <alignment horizontal="center" vertical="center"/>
    </xf>
    <xf numFmtId="4" fontId="13" fillId="0" borderId="47" xfId="0" applyNumberFormat="1" applyFont="1" applyBorder="1" applyAlignment="1">
      <alignment horizontal="center"/>
    </xf>
    <xf numFmtId="0" fontId="0" fillId="0" borderId="47" xfId="0" applyBorder="1"/>
    <xf numFmtId="4" fontId="27" fillId="0" borderId="47" xfId="0" applyNumberFormat="1" applyFont="1" applyBorder="1" applyAlignment="1">
      <alignment horizontal="center"/>
    </xf>
    <xf numFmtId="0" fontId="1" fillId="0" borderId="47" xfId="0" applyFont="1" applyBorder="1"/>
    <xf numFmtId="164" fontId="18" fillId="4" borderId="47" xfId="0" applyNumberFormat="1" applyFont="1" applyFill="1" applyBorder="1" applyAlignment="1">
      <alignment horizontal="center"/>
    </xf>
    <xf numFmtId="0" fontId="5" fillId="16" borderId="3" xfId="0" applyFont="1" applyFill="1" applyBorder="1" applyAlignment="1">
      <alignment horizontal="center" vertical="center" wrapText="1"/>
    </xf>
    <xf numFmtId="0" fontId="6" fillId="17" borderId="9" xfId="0" applyFont="1" applyFill="1" applyBorder="1"/>
    <xf numFmtId="0" fontId="12" fillId="16" borderId="14" xfId="0" applyFont="1" applyFill="1" applyBorder="1" applyAlignment="1">
      <alignment horizontal="center" vertical="center"/>
    </xf>
    <xf numFmtId="0" fontId="12" fillId="16" borderId="14" xfId="0" applyFont="1" applyFill="1" applyBorder="1" applyAlignment="1">
      <alignment vertical="center"/>
    </xf>
    <xf numFmtId="0" fontId="5" fillId="20" borderId="3" xfId="0" applyFont="1" applyFill="1" applyBorder="1" applyAlignment="1">
      <alignment horizontal="center" vertical="center" wrapText="1"/>
    </xf>
    <xf numFmtId="0" fontId="12" fillId="18" borderId="14" xfId="0" applyFont="1" applyFill="1" applyBorder="1" applyAlignment="1">
      <alignment horizontal="center" vertical="center"/>
    </xf>
    <xf numFmtId="0" fontId="12" fillId="18" borderId="14" xfId="0" applyFont="1" applyFill="1" applyBorder="1" applyAlignment="1">
      <alignment vertical="center"/>
    </xf>
    <xf numFmtId="164" fontId="13" fillId="18" borderId="14" xfId="0" applyNumberFormat="1" applyFont="1" applyFill="1" applyBorder="1" applyAlignment="1">
      <alignment horizontal="center" vertical="center"/>
    </xf>
    <xf numFmtId="4" fontId="11" fillId="19" borderId="0" xfId="0" applyNumberFormat="1" applyFont="1" applyFill="1"/>
    <xf numFmtId="164" fontId="13" fillId="19" borderId="14" xfId="0" applyNumberFormat="1" applyFont="1" applyFill="1" applyBorder="1" applyAlignment="1">
      <alignment horizontal="center" vertical="center"/>
    </xf>
    <xf numFmtId="10" fontId="13" fillId="21" borderId="14" xfId="0" applyNumberFormat="1" applyFont="1" applyFill="1" applyBorder="1" applyAlignment="1">
      <alignment horizontal="center" vertical="center"/>
    </xf>
    <xf numFmtId="0" fontId="11" fillId="19" borderId="0" xfId="0" applyFont="1" applyFill="1"/>
    <xf numFmtId="4" fontId="4" fillId="22" borderId="26" xfId="0" applyNumberFormat="1" applyFont="1" applyFill="1" applyBorder="1" applyAlignment="1">
      <alignment horizontal="center" vertical="center"/>
    </xf>
    <xf numFmtId="4" fontId="4" fillId="22" borderId="27" xfId="0" applyNumberFormat="1" applyFont="1" applyFill="1" applyBorder="1" applyAlignment="1">
      <alignment horizontal="center" vertical="center"/>
    </xf>
    <xf numFmtId="4" fontId="5" fillId="22" borderId="21" xfId="0" applyNumberFormat="1" applyFont="1" applyFill="1" applyBorder="1" applyAlignment="1">
      <alignment horizontal="center" vertical="center"/>
    </xf>
    <xf numFmtId="4" fontId="4" fillId="22" borderId="28" xfId="0" applyNumberFormat="1" applyFont="1" applyFill="1" applyBorder="1" applyAlignment="1">
      <alignment horizontal="center" vertical="center"/>
    </xf>
    <xf numFmtId="4" fontId="4" fillId="22" borderId="1" xfId="0" applyNumberFormat="1" applyFont="1" applyFill="1" applyBorder="1" applyAlignment="1">
      <alignment horizontal="center" vertical="center"/>
    </xf>
    <xf numFmtId="4" fontId="4" fillId="22" borderId="49" xfId="0" applyNumberFormat="1" applyFont="1" applyFill="1" applyBorder="1" applyAlignment="1">
      <alignment horizontal="center" vertical="center"/>
    </xf>
    <xf numFmtId="4" fontId="4" fillId="22" borderId="50" xfId="0" applyNumberFormat="1" applyFont="1" applyFill="1" applyBorder="1" applyAlignment="1">
      <alignment horizontal="center" vertical="center"/>
    </xf>
    <xf numFmtId="4" fontId="5" fillId="22" borderId="29" xfId="0" applyNumberFormat="1" applyFont="1" applyFill="1" applyBorder="1" applyAlignment="1">
      <alignment horizontal="center" vertical="center"/>
    </xf>
    <xf numFmtId="4" fontId="4" fillId="19" borderId="28" xfId="0" applyNumberFormat="1" applyFont="1" applyFill="1" applyBorder="1" applyAlignment="1">
      <alignment horizontal="center" vertical="center"/>
    </xf>
    <xf numFmtId="4" fontId="4" fillId="19" borderId="1" xfId="0" applyNumberFormat="1" applyFont="1" applyFill="1" applyBorder="1" applyAlignment="1">
      <alignment horizontal="center" vertical="center"/>
    </xf>
    <xf numFmtId="4" fontId="5" fillId="19" borderId="29" xfId="0" applyNumberFormat="1" applyFont="1" applyFill="1" applyBorder="1" applyAlignment="1">
      <alignment horizontal="center" vertical="center"/>
    </xf>
    <xf numFmtId="4" fontId="4" fillId="22" borderId="31" xfId="0" applyNumberFormat="1" applyFont="1" applyFill="1" applyBorder="1" applyAlignment="1">
      <alignment horizontal="center" vertical="center"/>
    </xf>
    <xf numFmtId="4" fontId="4" fillId="22" borderId="32" xfId="0" applyNumberFormat="1" applyFont="1" applyFill="1" applyBorder="1" applyAlignment="1">
      <alignment horizontal="center" vertical="center"/>
    </xf>
    <xf numFmtId="4" fontId="5" fillId="22" borderId="23" xfId="0" applyNumberFormat="1" applyFont="1" applyFill="1" applyBorder="1" applyAlignment="1">
      <alignment horizontal="center" vertical="center"/>
    </xf>
    <xf numFmtId="4" fontId="13" fillId="23" borderId="33" xfId="0" applyNumberFormat="1" applyFont="1" applyFill="1" applyBorder="1" applyAlignment="1">
      <alignment horizontal="center"/>
    </xf>
    <xf numFmtId="4" fontId="13" fillId="23" borderId="34" xfId="0" applyNumberFormat="1" applyFont="1" applyFill="1" applyBorder="1" applyAlignment="1">
      <alignment horizontal="center"/>
    </xf>
    <xf numFmtId="4" fontId="13" fillId="23" borderId="35" xfId="0" applyNumberFormat="1" applyFont="1" applyFill="1" applyBorder="1" applyAlignment="1">
      <alignment horizontal="center"/>
    </xf>
    <xf numFmtId="4" fontId="13" fillId="20" borderId="33" xfId="0" applyNumberFormat="1" applyFont="1" applyFill="1" applyBorder="1" applyAlignment="1">
      <alignment horizontal="center"/>
    </xf>
    <xf numFmtId="4" fontId="13" fillId="20" borderId="34" xfId="0" applyNumberFormat="1" applyFont="1" applyFill="1" applyBorder="1" applyAlignment="1">
      <alignment horizontal="center"/>
    </xf>
    <xf numFmtId="4" fontId="13" fillId="20" borderId="35" xfId="0" applyNumberFormat="1" applyFont="1" applyFill="1" applyBorder="1" applyAlignment="1">
      <alignment horizontal="center"/>
    </xf>
    <xf numFmtId="4" fontId="27" fillId="22" borderId="33" xfId="0" applyNumberFormat="1" applyFont="1" applyFill="1" applyBorder="1" applyAlignment="1">
      <alignment horizontal="center"/>
    </xf>
    <xf numFmtId="4" fontId="27" fillId="22" borderId="34" xfId="0" applyNumberFormat="1" applyFont="1" applyFill="1" applyBorder="1" applyAlignment="1">
      <alignment horizontal="center"/>
    </xf>
    <xf numFmtId="4" fontId="27" fillId="22" borderId="35" xfId="0" applyNumberFormat="1" applyFont="1" applyFill="1" applyBorder="1" applyAlignment="1">
      <alignment horizontal="center"/>
    </xf>
    <xf numFmtId="0" fontId="2" fillId="0" borderId="47" xfId="0" applyFont="1" applyBorder="1" applyAlignment="1">
      <alignment vertical="center"/>
    </xf>
    <xf numFmtId="10" fontId="9" fillId="6" borderId="47" xfId="0" applyNumberFormat="1" applyFont="1" applyFill="1" applyBorder="1" applyAlignment="1">
      <alignment horizontal="center"/>
    </xf>
    <xf numFmtId="0" fontId="5" fillId="0" borderId="51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/>
    </xf>
    <xf numFmtId="4" fontId="4" fillId="22" borderId="52" xfId="0" applyNumberFormat="1" applyFont="1" applyFill="1" applyBorder="1" applyAlignment="1">
      <alignment horizontal="center" vertical="center"/>
    </xf>
    <xf numFmtId="4" fontId="5" fillId="22" borderId="53" xfId="0" applyNumberFormat="1" applyFont="1" applyFill="1" applyBorder="1" applyAlignment="1">
      <alignment horizontal="center" vertical="center"/>
    </xf>
    <xf numFmtId="4" fontId="5" fillId="22" borderId="54" xfId="0" applyNumberFormat="1" applyFont="1" applyFill="1" applyBorder="1" applyAlignment="1">
      <alignment horizontal="center" vertical="center"/>
    </xf>
    <xf numFmtId="164" fontId="63" fillId="4" borderId="14" xfId="0" applyNumberFormat="1" applyFont="1" applyFill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0" borderId="6" xfId="0" applyFont="1" applyBorder="1"/>
    <xf numFmtId="0" fontId="6" fillId="0" borderId="7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5" fillId="0" borderId="47" xfId="0" applyFont="1" applyBorder="1" applyAlignment="1">
      <alignment horizontal="center" vertical="center"/>
    </xf>
    <xf numFmtId="0" fontId="6" fillId="0" borderId="47" xfId="0" applyFont="1" applyBorder="1"/>
    <xf numFmtId="164" fontId="8" fillId="16" borderId="40" xfId="0" applyNumberFormat="1" applyFont="1" applyFill="1" applyBorder="1" applyAlignment="1">
      <alignment horizontal="center" vertical="center" wrapText="1"/>
    </xf>
    <xf numFmtId="0" fontId="6" fillId="17" borderId="44" xfId="0" applyFont="1" applyFill="1" applyBorder="1"/>
    <xf numFmtId="164" fontId="8" fillId="16" borderId="41" xfId="0" applyNumberFormat="1" applyFont="1" applyFill="1" applyBorder="1" applyAlignment="1">
      <alignment horizontal="center" vertical="center" wrapText="1"/>
    </xf>
    <xf numFmtId="0" fontId="6" fillId="17" borderId="45" xfId="0" applyFont="1" applyFill="1" applyBorder="1"/>
    <xf numFmtId="164" fontId="8" fillId="16" borderId="42" xfId="0" applyNumberFormat="1" applyFont="1" applyFill="1" applyBorder="1" applyAlignment="1">
      <alignment horizontal="center" vertical="center" wrapText="1"/>
    </xf>
    <xf numFmtId="0" fontId="6" fillId="17" borderId="46" xfId="0" applyFont="1" applyFill="1" applyBorder="1"/>
    <xf numFmtId="0" fontId="5" fillId="4" borderId="40" xfId="0" applyFont="1" applyFill="1" applyBorder="1" applyAlignment="1">
      <alignment horizontal="center" vertical="center"/>
    </xf>
    <xf numFmtId="0" fontId="5" fillId="4" borderId="41" xfId="0" applyFont="1" applyFill="1" applyBorder="1" applyAlignment="1">
      <alignment horizontal="center" vertical="center"/>
    </xf>
    <xf numFmtId="0" fontId="5" fillId="4" borderId="42" xfId="0" applyFont="1" applyFill="1" applyBorder="1" applyAlignment="1">
      <alignment horizontal="center" vertical="center"/>
    </xf>
    <xf numFmtId="0" fontId="5" fillId="4" borderId="44" xfId="0" applyFont="1" applyFill="1" applyBorder="1" applyAlignment="1">
      <alignment horizontal="center" vertical="center"/>
    </xf>
    <xf numFmtId="0" fontId="5" fillId="4" borderId="45" xfId="0" applyFont="1" applyFill="1" applyBorder="1" applyAlignment="1">
      <alignment horizontal="center" vertical="center"/>
    </xf>
    <xf numFmtId="0" fontId="5" fillId="4" borderId="4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8" xfId="0" applyFont="1" applyBorder="1"/>
    <xf numFmtId="0" fontId="5" fillId="16" borderId="3" xfId="0" applyFont="1" applyFill="1" applyBorder="1" applyAlignment="1">
      <alignment horizontal="center" vertical="center" wrapText="1"/>
    </xf>
    <xf numFmtId="0" fontId="6" fillId="17" borderId="9" xfId="0" applyFont="1" applyFill="1" applyBorder="1"/>
    <xf numFmtId="0" fontId="5" fillId="0" borderId="5" xfId="0" applyFont="1" applyBorder="1" applyAlignment="1">
      <alignment horizontal="center" vertical="center"/>
    </xf>
    <xf numFmtId="0" fontId="5" fillId="16" borderId="4" xfId="0" applyFont="1" applyFill="1" applyBorder="1" applyAlignment="1">
      <alignment horizontal="center" vertical="center" wrapText="1"/>
    </xf>
    <xf numFmtId="0" fontId="6" fillId="17" borderId="10" xfId="0" applyFont="1" applyFill="1" applyBorder="1"/>
    <xf numFmtId="0" fontId="5" fillId="0" borderId="8" xfId="0" applyFont="1" applyBorder="1" applyAlignment="1">
      <alignment horizontal="center" vertical="center" wrapText="1"/>
    </xf>
    <xf numFmtId="0" fontId="5" fillId="16" borderId="20" xfId="0" applyFont="1" applyFill="1" applyBorder="1" applyAlignment="1">
      <alignment horizontal="center" vertical="center" wrapText="1"/>
    </xf>
    <xf numFmtId="0" fontId="5" fillId="16" borderId="22" xfId="0" applyFont="1" applyFill="1" applyBorder="1" applyAlignment="1">
      <alignment horizontal="center" vertical="center" wrapText="1"/>
    </xf>
    <xf numFmtId="0" fontId="5" fillId="16" borderId="10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0" fillId="0" borderId="0" xfId="0"/>
    <xf numFmtId="164" fontId="4" fillId="11" borderId="3" xfId="0" applyNumberFormat="1" applyFont="1" applyFill="1" applyBorder="1" applyAlignment="1">
      <alignment horizontal="center" vertical="center" wrapText="1"/>
    </xf>
    <xf numFmtId="0" fontId="6" fillId="0" borderId="9" xfId="0" applyFont="1" applyBorder="1"/>
    <xf numFmtId="0" fontId="8" fillId="0" borderId="3" xfId="0" applyFont="1" applyBorder="1" applyAlignment="1">
      <alignment horizontal="center" vertical="center" wrapText="1"/>
    </xf>
    <xf numFmtId="0" fontId="8" fillId="20" borderId="3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20" borderId="4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0" borderId="10" xfId="0" applyFont="1" applyBorder="1"/>
    <xf numFmtId="0" fontId="5" fillId="8" borderId="5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164" fontId="8" fillId="3" borderId="40" xfId="0" applyNumberFormat="1" applyFont="1" applyFill="1" applyBorder="1" applyAlignment="1">
      <alignment horizontal="center" vertical="center" wrapText="1"/>
    </xf>
    <xf numFmtId="0" fontId="6" fillId="0" borderId="44" xfId="0" applyFont="1" applyBorder="1"/>
    <xf numFmtId="164" fontId="8" fillId="3" borderId="41" xfId="0" applyNumberFormat="1" applyFont="1" applyFill="1" applyBorder="1" applyAlignment="1">
      <alignment horizontal="center" vertical="center" wrapText="1"/>
    </xf>
    <xf numFmtId="0" fontId="6" fillId="0" borderId="45" xfId="0" applyFont="1" applyBorder="1"/>
    <xf numFmtId="164" fontId="8" fillId="3" borderId="42" xfId="0" applyNumberFormat="1" applyFont="1" applyFill="1" applyBorder="1" applyAlignment="1">
      <alignment horizontal="center" vertical="center" wrapText="1"/>
    </xf>
    <xf numFmtId="0" fontId="6" fillId="0" borderId="46" xfId="0" applyFont="1" applyBorder="1"/>
    <xf numFmtId="0" fontId="8" fillId="8" borderId="3" xfId="0" applyFont="1" applyFill="1" applyBorder="1" applyAlignment="1">
      <alignment horizontal="left" vertical="center"/>
    </xf>
    <xf numFmtId="164" fontId="8" fillId="8" borderId="40" xfId="0" applyNumberFormat="1" applyFont="1" applyFill="1" applyBorder="1" applyAlignment="1">
      <alignment horizontal="center" vertical="center" wrapText="1"/>
    </xf>
    <xf numFmtId="164" fontId="8" fillId="8" borderId="41" xfId="0" applyNumberFormat="1" applyFont="1" applyFill="1" applyBorder="1" applyAlignment="1">
      <alignment horizontal="center" vertical="center" wrapText="1"/>
    </xf>
    <xf numFmtId="164" fontId="8" fillId="8" borderId="42" xfId="0" applyNumberFormat="1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F2F2F2"/>
      <color rgb="FFD8D8D8"/>
      <color rgb="FFDEEAF7"/>
      <color rgb="FFBDD6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SESORIA\CONTANET\Archivos%20Comunes\VBA\ContaNet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Sheet1"/>
      <sheetName val="ContaNet"/>
    </sheetNames>
    <definedNames>
      <definedName name="CN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1"/>
  <sheetViews>
    <sheetView showGridLines="0" tabSelected="1" topLeftCell="B1" zoomScale="90" zoomScaleNormal="90" zoomScalePageLayoutView="112" workbookViewId="0">
      <selection activeCell="V249" sqref="V249"/>
    </sheetView>
  </sheetViews>
  <sheetFormatPr baseColWidth="10" defaultColWidth="14.42578125" defaultRowHeight="15" customHeight="1"/>
  <cols>
    <col min="1" max="1" width="13.140625" hidden="1" customWidth="1"/>
    <col min="2" max="2" width="1.42578125" customWidth="1"/>
    <col min="3" max="3" width="11.28515625" customWidth="1"/>
    <col min="4" max="4" width="1.42578125" customWidth="1"/>
    <col min="5" max="5" width="50.7109375" customWidth="1"/>
    <col min="6" max="6" width="3.42578125" customWidth="1"/>
    <col min="7" max="7" width="15" customWidth="1"/>
    <col min="8" max="8" width="15.28515625" customWidth="1"/>
    <col min="9" max="9" width="17.5703125" customWidth="1"/>
    <col min="10" max="10" width="1.28515625" customWidth="1"/>
    <col min="11" max="11" width="16.28515625" hidden="1" customWidth="1"/>
    <col min="12" max="12" width="14" hidden="1" customWidth="1"/>
    <col min="13" max="13" width="15.140625" hidden="1" customWidth="1"/>
    <col min="14" max="14" width="1.42578125" hidden="1" customWidth="1"/>
    <col min="15" max="15" width="22.85546875" hidden="1" customWidth="1"/>
    <col min="16" max="16" width="1.42578125" hidden="1" customWidth="1"/>
    <col min="17" max="17" width="11.42578125" hidden="1" customWidth="1"/>
    <col min="18" max="18" width="11.42578125" customWidth="1"/>
    <col min="19" max="19" width="16.7109375" customWidth="1"/>
    <col min="20" max="20" width="20" customWidth="1"/>
  </cols>
  <sheetData>
    <row r="1" spans="1:24" ht="12.75" customHeight="1">
      <c r="A1" s="1" t="s">
        <v>205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3"/>
      <c r="P1" s="1"/>
      <c r="Q1" s="1"/>
      <c r="R1" s="1"/>
      <c r="S1" s="1"/>
    </row>
    <row r="2" spans="1:24" ht="20.25" customHeight="1">
      <c r="A2" s="1"/>
      <c r="B2" s="1"/>
      <c r="C2" s="2"/>
      <c r="D2" s="1"/>
      <c r="E2" s="1"/>
      <c r="F2" s="1"/>
      <c r="G2" s="1"/>
      <c r="H2" s="1"/>
      <c r="I2" s="1"/>
      <c r="J2" s="1"/>
      <c r="K2" s="310" t="s">
        <v>442</v>
      </c>
      <c r="L2" s="311" t="s">
        <v>432</v>
      </c>
      <c r="M2" s="1">
        <f>MONTH(L2&amp;1)</f>
        <v>3</v>
      </c>
      <c r="N2" s="1"/>
      <c r="O2" s="3"/>
      <c r="P2" s="1"/>
      <c r="Q2" s="1"/>
      <c r="R2" s="1"/>
      <c r="S2" s="1"/>
      <c r="T2" s="1"/>
      <c r="U2" s="1"/>
      <c r="V2" s="310"/>
      <c r="W2" s="311"/>
      <c r="X2" s="1"/>
    </row>
    <row r="3" spans="1:24" ht="12.75" customHeight="1">
      <c r="A3" s="1"/>
      <c r="B3" s="1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"/>
      <c r="P3" s="1"/>
      <c r="Q3" s="1"/>
      <c r="R3" s="1"/>
      <c r="S3" s="1"/>
      <c r="T3" s="1"/>
      <c r="U3" s="1"/>
      <c r="V3" s="1"/>
      <c r="W3" s="1"/>
      <c r="X3" s="1"/>
    </row>
    <row r="4" spans="1:24" ht="18.75">
      <c r="A4" s="1"/>
      <c r="B4" s="1"/>
      <c r="C4" s="2"/>
      <c r="D4" s="1"/>
      <c r="E4" s="1"/>
      <c r="F4" s="1"/>
      <c r="G4" s="375" t="s">
        <v>0</v>
      </c>
      <c r="H4" s="375"/>
      <c r="I4" s="375"/>
      <c r="J4" s="375"/>
      <c r="K4" s="375"/>
      <c r="L4" s="5"/>
      <c r="M4" s="4"/>
      <c r="N4" s="1"/>
      <c r="O4" s="375"/>
      <c r="P4" s="375"/>
      <c r="Q4" s="1"/>
      <c r="R4" s="375"/>
      <c r="S4" s="375"/>
      <c r="T4" s="375"/>
      <c r="U4" s="375"/>
      <c r="V4" s="375"/>
      <c r="W4" s="5"/>
      <c r="X4" s="4"/>
    </row>
    <row r="5" spans="1:24" ht="4.5" customHeight="1" thickBot="1">
      <c r="A5" s="7"/>
      <c r="B5" s="7"/>
      <c r="C5" s="8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9"/>
      <c r="P5" s="7"/>
      <c r="Q5" s="7"/>
      <c r="R5" s="7"/>
      <c r="S5" s="7"/>
      <c r="T5" s="7"/>
      <c r="U5" s="7"/>
      <c r="V5" s="7"/>
      <c r="W5" s="7"/>
      <c r="X5" s="7"/>
    </row>
    <row r="6" spans="1:24" ht="12.75" customHeight="1">
      <c r="A6" s="396" t="s">
        <v>1</v>
      </c>
      <c r="B6" s="10"/>
      <c r="C6" s="404" t="s">
        <v>2</v>
      </c>
      <c r="D6" s="11"/>
      <c r="E6" s="401" t="s">
        <v>3</v>
      </c>
      <c r="F6" s="11"/>
      <c r="G6" s="390" t="s">
        <v>454</v>
      </c>
      <c r="H6" s="391"/>
      <c r="I6" s="392"/>
      <c r="J6" s="11"/>
      <c r="K6" s="415" t="s">
        <v>444</v>
      </c>
      <c r="L6" s="416"/>
      <c r="M6" s="417"/>
      <c r="N6" s="11"/>
      <c r="O6" s="12" t="s">
        <v>5</v>
      </c>
      <c r="P6" s="11"/>
      <c r="Q6" s="14"/>
      <c r="R6" s="390" t="s">
        <v>445</v>
      </c>
      <c r="S6" s="391"/>
      <c r="T6" s="392"/>
      <c r="U6" s="11"/>
      <c r="V6" s="382"/>
      <c r="W6" s="382"/>
      <c r="X6" s="382"/>
    </row>
    <row r="7" spans="1:24" ht="27.75" customHeight="1" thickBot="1">
      <c r="A7" s="403"/>
      <c r="B7" s="10"/>
      <c r="C7" s="405"/>
      <c r="D7" s="14"/>
      <c r="E7" s="406"/>
      <c r="F7" s="14"/>
      <c r="G7" s="393"/>
      <c r="H7" s="394"/>
      <c r="I7" s="395"/>
      <c r="J7" s="14"/>
      <c r="K7" s="418"/>
      <c r="L7" s="419"/>
      <c r="M7" s="420"/>
      <c r="N7" s="14"/>
      <c r="O7" s="16" t="s">
        <v>443</v>
      </c>
      <c r="P7" s="14"/>
      <c r="Q7" s="14"/>
      <c r="R7" s="393"/>
      <c r="S7" s="394"/>
      <c r="T7" s="395"/>
      <c r="U7" s="14"/>
      <c r="V7" s="382"/>
      <c r="W7" s="382"/>
      <c r="X7" s="382"/>
    </row>
    <row r="8" spans="1:24" ht="6" customHeight="1">
      <c r="A8" s="18"/>
      <c r="B8" s="18"/>
      <c r="C8" s="18"/>
      <c r="D8" s="7"/>
      <c r="E8" s="18"/>
      <c r="F8" s="7"/>
      <c r="G8" s="19"/>
      <c r="H8" s="19"/>
      <c r="I8" s="19"/>
      <c r="J8" s="7"/>
      <c r="K8" s="19"/>
      <c r="L8" s="19"/>
      <c r="M8" s="19"/>
      <c r="N8" s="7"/>
      <c r="O8" s="20"/>
      <c r="P8" s="7"/>
      <c r="Q8" s="7"/>
      <c r="R8" s="19"/>
      <c r="S8" s="19"/>
      <c r="T8" s="19"/>
      <c r="U8" s="7"/>
      <c r="V8" s="320"/>
      <c r="W8" s="320"/>
      <c r="X8" s="320"/>
    </row>
    <row r="9" spans="1:24" ht="13.5" customHeight="1" thickBot="1">
      <c r="A9" s="21"/>
      <c r="B9" s="21"/>
      <c r="C9" s="22"/>
      <c r="D9" s="21"/>
      <c r="E9" s="21"/>
      <c r="F9" s="21"/>
      <c r="G9" s="23" t="s">
        <v>6</v>
      </c>
      <c r="H9" s="23" t="s">
        <v>7</v>
      </c>
      <c r="I9" s="23" t="s">
        <v>8</v>
      </c>
      <c r="J9" s="21"/>
      <c r="K9" s="23" t="s">
        <v>6</v>
      </c>
      <c r="L9" s="23" t="s">
        <v>7</v>
      </c>
      <c r="M9" s="23" t="s">
        <v>8</v>
      </c>
      <c r="N9" s="21"/>
      <c r="O9" s="24"/>
      <c r="P9" s="21"/>
      <c r="Q9" s="21"/>
      <c r="R9" s="23" t="s">
        <v>6</v>
      </c>
      <c r="S9" s="23" t="s">
        <v>7</v>
      </c>
      <c r="T9" s="23" t="s">
        <v>8</v>
      </c>
      <c r="U9" s="21"/>
      <c r="V9" s="317"/>
      <c r="W9" s="317"/>
      <c r="X9" s="317"/>
    </row>
    <row r="10" spans="1:24" ht="17.25" customHeight="1" thickTop="1" thickBot="1">
      <c r="A10" s="26"/>
      <c r="B10" s="26"/>
      <c r="C10" s="337">
        <v>1</v>
      </c>
      <c r="D10" s="28"/>
      <c r="E10" s="338" t="s">
        <v>9</v>
      </c>
      <c r="F10" s="28"/>
      <c r="G10" s="30">
        <f>SUM(G12,G24)</f>
        <v>104740</v>
      </c>
      <c r="H10" s="30">
        <v>0</v>
      </c>
      <c r="I10" s="30">
        <f t="shared" ref="I10" si="0">SUM(I12,I24)</f>
        <v>104740</v>
      </c>
      <c r="J10" s="28"/>
      <c r="K10" s="31" t="e">
        <f t="shared" ref="K10:L10" ca="1" si="1">SUM(K12,K24)</f>
        <v>#NAME?</v>
      </c>
      <c r="L10" s="31">
        <f t="shared" si="1"/>
        <v>0</v>
      </c>
      <c r="M10" s="31" t="e">
        <f ca="1">K10+L10</f>
        <v>#NAME?</v>
      </c>
      <c r="N10" s="28"/>
      <c r="O10" s="32" t="e">
        <f ca="1">M10/I10</f>
        <v>#NAME?</v>
      </c>
      <c r="P10" s="28"/>
      <c r="Q10" s="35"/>
      <c r="R10" s="30">
        <v>100850</v>
      </c>
      <c r="S10" s="30">
        <v>0</v>
      </c>
      <c r="T10" s="30">
        <v>100850</v>
      </c>
      <c r="U10" s="28"/>
      <c r="V10" s="318"/>
      <c r="W10" s="318"/>
      <c r="X10" s="318"/>
    </row>
    <row r="11" spans="1:24" ht="12.75" customHeight="1" thickTop="1">
      <c r="A11" s="7"/>
      <c r="B11" s="7"/>
      <c r="C11" s="8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9"/>
      <c r="P11" s="7"/>
      <c r="Q11" s="7"/>
      <c r="R11" s="7"/>
      <c r="S11" s="7"/>
      <c r="T11" s="7"/>
      <c r="U11" s="7"/>
      <c r="V11" s="7"/>
      <c r="W11" s="7"/>
      <c r="X11" s="7"/>
    </row>
    <row r="12" spans="1:24" ht="12.75" customHeight="1">
      <c r="A12" s="11"/>
      <c r="B12" s="11"/>
      <c r="C12" s="36">
        <v>13</v>
      </c>
      <c r="D12" s="14"/>
      <c r="E12" s="14" t="s">
        <v>10</v>
      </c>
      <c r="F12" s="14"/>
      <c r="G12" s="37">
        <f>+G14+G17+G20</f>
        <v>78140</v>
      </c>
      <c r="H12" s="37">
        <f t="shared" ref="H12" si="2">+H14+H17+H20</f>
        <v>0</v>
      </c>
      <c r="I12" s="37">
        <f>+I14+I17+I20</f>
        <v>78140</v>
      </c>
      <c r="J12" s="14"/>
      <c r="K12" s="38" t="e">
        <f t="shared" ref="K12:L12" ca="1" si="3">SUM(K20,K17,K14)</f>
        <v>#NAME?</v>
      </c>
      <c r="L12" s="38">
        <f t="shared" si="3"/>
        <v>0</v>
      </c>
      <c r="M12" s="38" t="e">
        <f ca="1">L12+K12</f>
        <v>#NAME?</v>
      </c>
      <c r="N12" s="14"/>
      <c r="O12" s="39" t="e">
        <f ca="1">M12/I12</f>
        <v>#NAME?</v>
      </c>
      <c r="P12" s="14"/>
      <c r="Q12" s="14"/>
      <c r="R12" s="37">
        <f>+R14+R17+R20</f>
        <v>75700</v>
      </c>
      <c r="S12" s="37">
        <f t="shared" ref="S12:T12" si="4">+S14+S17+S20</f>
        <v>0</v>
      </c>
      <c r="T12" s="37">
        <f t="shared" si="4"/>
        <v>75700</v>
      </c>
      <c r="U12" s="14"/>
      <c r="V12" s="38"/>
      <c r="W12" s="38"/>
      <c r="X12" s="38"/>
    </row>
    <row r="13" spans="1:24" ht="6" customHeight="1">
      <c r="A13" s="7"/>
      <c r="B13" s="7"/>
      <c r="C13" s="8"/>
      <c r="D13" s="7"/>
      <c r="E13" s="42"/>
      <c r="F13" s="7"/>
      <c r="G13" s="43"/>
      <c r="H13" s="43"/>
      <c r="I13" s="43"/>
      <c r="J13" s="7"/>
      <c r="K13" s="44"/>
      <c r="L13" s="44"/>
      <c r="M13" s="44"/>
      <c r="N13" s="7"/>
      <c r="O13" s="45"/>
      <c r="P13" s="7"/>
      <c r="Q13" s="7"/>
      <c r="R13" s="43"/>
      <c r="S13" s="43"/>
      <c r="T13" s="43"/>
      <c r="U13" s="7"/>
      <c r="V13" s="44"/>
      <c r="W13" s="44"/>
      <c r="X13" s="44"/>
    </row>
    <row r="14" spans="1:24" ht="11.25" customHeight="1">
      <c r="A14" s="49"/>
      <c r="B14" s="49"/>
      <c r="C14" s="22">
        <v>131</v>
      </c>
      <c r="D14" s="21"/>
      <c r="E14" s="50" t="s">
        <v>11</v>
      </c>
      <c r="F14" s="21"/>
      <c r="G14" s="51">
        <f>+G15</f>
        <v>7200</v>
      </c>
      <c r="H14" s="51">
        <v>0</v>
      </c>
      <c r="I14" s="51">
        <f>+I15</f>
        <v>7200</v>
      </c>
      <c r="J14" s="21"/>
      <c r="K14" s="52" t="e">
        <f t="shared" ref="K14:M14" ca="1" si="5">K15</f>
        <v>#NAME?</v>
      </c>
      <c r="L14" s="52">
        <f t="shared" si="5"/>
        <v>0</v>
      </c>
      <c r="M14" s="52" t="e">
        <f t="shared" ca="1" si="5"/>
        <v>#NAME?</v>
      </c>
      <c r="N14" s="21"/>
      <c r="O14" s="53" t="e">
        <f t="shared" ref="O14:O15" ca="1" si="6">M14/I14</f>
        <v>#NAME?</v>
      </c>
      <c r="P14" s="21"/>
      <c r="Q14" s="21"/>
      <c r="R14" s="51">
        <f>+R15</f>
        <v>7200</v>
      </c>
      <c r="S14" s="51">
        <v>0</v>
      </c>
      <c r="T14" s="51">
        <f>+T15</f>
        <v>7200</v>
      </c>
      <c r="U14" s="21"/>
      <c r="V14" s="52"/>
      <c r="W14" s="52"/>
      <c r="X14" s="52"/>
    </row>
    <row r="15" spans="1:24" ht="11.25" customHeight="1">
      <c r="A15" s="49">
        <v>6400009</v>
      </c>
      <c r="B15" s="49"/>
      <c r="C15" s="22" t="s">
        <v>12</v>
      </c>
      <c r="D15" s="57"/>
      <c r="E15" s="21" t="s">
        <v>13</v>
      </c>
      <c r="F15" s="57"/>
      <c r="G15" s="58">
        <v>7200</v>
      </c>
      <c r="H15" s="58">
        <v>0</v>
      </c>
      <c r="I15" s="58">
        <f>+G15+H15</f>
        <v>7200</v>
      </c>
      <c r="J15" s="57"/>
      <c r="K15" s="23" t="e">
        <f ca="1">VALUE(Q15)</f>
        <v>#NAME?</v>
      </c>
      <c r="L15" s="23">
        <v>0</v>
      </c>
      <c r="M15" s="23" t="e">
        <f ca="1">K15+L15</f>
        <v>#NAME?</v>
      </c>
      <c r="N15" s="57"/>
      <c r="O15" s="59" t="e">
        <f t="shared" ca="1" si="6"/>
        <v>#NAME?</v>
      </c>
      <c r="P15" s="57"/>
      <c r="Q15" s="21" t="e" cm="1">
        <f t="array" aca="1" ref="Q15" ca="1">[1]!CN(64000009,,0,0,M2)</f>
        <v>#NAME?</v>
      </c>
      <c r="R15" s="58">
        <v>7200</v>
      </c>
      <c r="S15" s="58">
        <v>0</v>
      </c>
      <c r="T15" s="58">
        <v>7200</v>
      </c>
      <c r="U15" s="57"/>
      <c r="V15" s="23"/>
      <c r="W15" s="23"/>
      <c r="X15" s="23"/>
    </row>
    <row r="16" spans="1:24" ht="11.25" customHeight="1">
      <c r="A16" s="49"/>
      <c r="B16" s="49"/>
      <c r="C16" s="22"/>
      <c r="D16" s="21"/>
      <c r="E16" s="21"/>
      <c r="F16" s="21"/>
      <c r="G16" s="58"/>
      <c r="H16" s="58"/>
      <c r="I16" s="58"/>
      <c r="J16" s="21"/>
      <c r="K16" s="23"/>
      <c r="L16" s="23"/>
      <c r="M16" s="23"/>
      <c r="N16" s="21"/>
      <c r="O16" s="59"/>
      <c r="P16" s="21"/>
      <c r="Q16" s="21"/>
      <c r="R16" s="58"/>
      <c r="S16" s="58"/>
      <c r="T16" s="58"/>
      <c r="U16" s="21"/>
      <c r="V16" s="23"/>
      <c r="W16" s="23"/>
      <c r="X16" s="23"/>
    </row>
    <row r="17" spans="1:24" ht="11.25" customHeight="1">
      <c r="A17" s="49"/>
      <c r="B17" s="49"/>
      <c r="C17" s="22">
        <v>134</v>
      </c>
      <c r="D17" s="1"/>
      <c r="E17" s="50" t="s">
        <v>14</v>
      </c>
      <c r="F17" s="1"/>
      <c r="G17" s="51">
        <f>+G18</f>
        <v>53120</v>
      </c>
      <c r="H17" s="51">
        <v>0</v>
      </c>
      <c r="I17" s="51">
        <f>+I18</f>
        <v>53120</v>
      </c>
      <c r="J17" s="1"/>
      <c r="K17" s="52" t="e">
        <f t="shared" ref="K17:L17" ca="1" si="7">SUM(K18)</f>
        <v>#NAME?</v>
      </c>
      <c r="L17" s="52">
        <f t="shared" si="7"/>
        <v>0</v>
      </c>
      <c r="M17" s="52" t="e">
        <f t="shared" ref="M17:M18" ca="1" si="8">L17+K17</f>
        <v>#NAME?</v>
      </c>
      <c r="N17" s="1"/>
      <c r="O17" s="53" t="e">
        <f t="shared" ref="O17:O18" ca="1" si="9">M17/I17</f>
        <v>#NAME?</v>
      </c>
      <c r="P17" s="1"/>
      <c r="Q17" s="21"/>
      <c r="R17" s="51">
        <f>+R18</f>
        <v>52000</v>
      </c>
      <c r="S17" s="51">
        <v>0</v>
      </c>
      <c r="T17" s="51">
        <f>+T18</f>
        <v>52000</v>
      </c>
      <c r="U17" s="1"/>
      <c r="V17" s="52"/>
      <c r="W17" s="52"/>
      <c r="X17" s="52"/>
    </row>
    <row r="18" spans="1:24" ht="11.25" customHeight="1">
      <c r="A18" s="49">
        <v>6400001</v>
      </c>
      <c r="B18" s="49"/>
      <c r="C18" s="22" t="s">
        <v>15</v>
      </c>
      <c r="D18" s="21"/>
      <c r="E18" s="21" t="s">
        <v>16</v>
      </c>
      <c r="F18" s="21"/>
      <c r="G18" s="58">
        <v>53120</v>
      </c>
      <c r="H18" s="58">
        <v>0</v>
      </c>
      <c r="I18" s="58">
        <f>+G18+H18</f>
        <v>53120</v>
      </c>
      <c r="J18" s="21"/>
      <c r="K18" s="23" t="e">
        <f ca="1">VALUE(Q18)</f>
        <v>#NAME?</v>
      </c>
      <c r="L18" s="23">
        <v>0</v>
      </c>
      <c r="M18" s="23" t="e">
        <f t="shared" ca="1" si="8"/>
        <v>#NAME?</v>
      </c>
      <c r="N18" s="21"/>
      <c r="O18" s="59" t="e">
        <f t="shared" ca="1" si="9"/>
        <v>#NAME?</v>
      </c>
      <c r="P18" s="21"/>
      <c r="Q18" s="21" t="e" cm="1">
        <f t="array" aca="1" ref="Q18" ca="1">[1]!CN(64000001,,0,0,M2)-21255.6*0.15</f>
        <v>#NAME?</v>
      </c>
      <c r="R18" s="58">
        <v>52000</v>
      </c>
      <c r="S18" s="58">
        <v>0</v>
      </c>
      <c r="T18" s="58">
        <v>52000</v>
      </c>
      <c r="U18" s="21"/>
      <c r="V18" s="23"/>
      <c r="W18" s="23"/>
      <c r="X18" s="23"/>
    </row>
    <row r="19" spans="1:24" ht="11.25" customHeight="1">
      <c r="A19" s="49"/>
      <c r="B19" s="49"/>
      <c r="C19" s="22"/>
      <c r="D19" s="63"/>
      <c r="E19" s="21"/>
      <c r="F19" s="63"/>
      <c r="G19" s="58"/>
      <c r="H19" s="58"/>
      <c r="I19" s="58"/>
      <c r="J19" s="63"/>
      <c r="K19" s="23"/>
      <c r="L19" s="23"/>
      <c r="M19" s="23"/>
      <c r="N19" s="63"/>
      <c r="O19" s="59"/>
      <c r="P19" s="63"/>
      <c r="Q19" s="21"/>
      <c r="R19" s="58"/>
      <c r="S19" s="58"/>
      <c r="T19" s="58"/>
      <c r="U19" s="63"/>
      <c r="V19" s="23"/>
      <c r="W19" s="23"/>
      <c r="X19" s="23"/>
    </row>
    <row r="20" spans="1:24" ht="11.25" customHeight="1">
      <c r="A20" s="49"/>
      <c r="B20" s="49"/>
      <c r="C20" s="22">
        <v>135</v>
      </c>
      <c r="D20" s="21"/>
      <c r="E20" s="50" t="s">
        <v>17</v>
      </c>
      <c r="F20" s="21"/>
      <c r="G20" s="51">
        <f>+G21+G22</f>
        <v>17820</v>
      </c>
      <c r="H20" s="51">
        <v>0</v>
      </c>
      <c r="I20" s="51">
        <f>+I21+I22</f>
        <v>17820</v>
      </c>
      <c r="J20" s="21"/>
      <c r="K20" s="52" t="e">
        <f t="shared" ref="K20:L20" ca="1" si="10">SUM(K21:K22)</f>
        <v>#NAME?</v>
      </c>
      <c r="L20" s="52">
        <f t="shared" si="10"/>
        <v>0</v>
      </c>
      <c r="M20" s="52" t="e">
        <f t="shared" ref="M20:M21" ca="1" si="11">L20+K20</f>
        <v>#NAME?</v>
      </c>
      <c r="N20" s="21"/>
      <c r="O20" s="53" t="e">
        <f t="shared" ref="O20:O21" ca="1" si="12">M20/I20</f>
        <v>#NAME?</v>
      </c>
      <c r="P20" s="21"/>
      <c r="Q20" s="21"/>
      <c r="R20" s="51">
        <f>+R21+R22</f>
        <v>16500</v>
      </c>
      <c r="S20" s="51">
        <v>0</v>
      </c>
      <c r="T20" s="51">
        <f>+T21+T22</f>
        <v>16500</v>
      </c>
      <c r="U20" s="21"/>
      <c r="V20" s="52"/>
      <c r="W20" s="52"/>
      <c r="X20" s="52"/>
    </row>
    <row r="21" spans="1:24" ht="11.25" customHeight="1">
      <c r="A21" s="49">
        <v>6400002</v>
      </c>
      <c r="B21" s="49"/>
      <c r="C21" s="22" t="s">
        <v>18</v>
      </c>
      <c r="D21" s="21"/>
      <c r="E21" s="21" t="s">
        <v>447</v>
      </c>
      <c r="F21" s="21"/>
      <c r="G21" s="58">
        <v>17820</v>
      </c>
      <c r="H21" s="58">
        <v>0</v>
      </c>
      <c r="I21" s="58">
        <f>+G21+H21</f>
        <v>17820</v>
      </c>
      <c r="J21" s="21"/>
      <c r="K21" s="23" t="e">
        <f ca="1">VALUE(Q21)</f>
        <v>#NAME?</v>
      </c>
      <c r="L21" s="23">
        <v>0</v>
      </c>
      <c r="M21" s="23" t="e">
        <f t="shared" ca="1" si="11"/>
        <v>#NAME?</v>
      </c>
      <c r="N21" s="21"/>
      <c r="O21" s="59" t="e">
        <f t="shared" ca="1" si="12"/>
        <v>#NAME?</v>
      </c>
      <c r="P21" s="21"/>
      <c r="Q21" s="21" t="e" cm="1">
        <f t="array" aca="1" ref="Q21" ca="1">[1]!CN(64000002,,0,0,M2)</f>
        <v>#NAME?</v>
      </c>
      <c r="R21" s="58">
        <v>16500</v>
      </c>
      <c r="S21" s="58">
        <v>0</v>
      </c>
      <c r="T21" s="58">
        <v>16500</v>
      </c>
      <c r="U21" s="21"/>
      <c r="V21" s="23"/>
      <c r="W21" s="23"/>
      <c r="X21" s="23"/>
    </row>
    <row r="22" spans="1:24" ht="11.25" customHeight="1">
      <c r="A22" s="49"/>
      <c r="B22" s="49"/>
      <c r="C22" s="22" t="s">
        <v>20</v>
      </c>
      <c r="D22" s="21"/>
      <c r="E22" s="21" t="s">
        <v>21</v>
      </c>
      <c r="F22" s="21"/>
      <c r="G22" s="58">
        <v>0</v>
      </c>
      <c r="H22" s="58">
        <v>0</v>
      </c>
      <c r="I22" s="58">
        <v>0</v>
      </c>
      <c r="J22" s="21"/>
      <c r="K22" s="23">
        <v>0</v>
      </c>
      <c r="L22" s="23">
        <v>0</v>
      </c>
      <c r="M22" s="23">
        <v>0</v>
      </c>
      <c r="N22" s="21"/>
      <c r="O22" s="59">
        <v>0</v>
      </c>
      <c r="P22" s="21"/>
      <c r="Q22" s="21"/>
      <c r="R22" s="58">
        <v>0</v>
      </c>
      <c r="S22" s="58">
        <v>0</v>
      </c>
      <c r="T22" s="58">
        <v>0</v>
      </c>
      <c r="U22" s="21"/>
      <c r="V22" s="23"/>
      <c r="W22" s="23"/>
      <c r="X22" s="23"/>
    </row>
    <row r="23" spans="1:24" ht="11.25" customHeight="1">
      <c r="A23" s="49"/>
      <c r="B23" s="49"/>
      <c r="C23" s="22"/>
      <c r="D23" s="57"/>
      <c r="E23" s="21"/>
      <c r="F23" s="57"/>
      <c r="G23" s="58"/>
      <c r="H23" s="58"/>
      <c r="I23" s="58"/>
      <c r="J23" s="57"/>
      <c r="K23" s="23"/>
      <c r="L23" s="23"/>
      <c r="M23" s="23"/>
      <c r="N23" s="57"/>
      <c r="O23" s="59"/>
      <c r="P23" s="57"/>
      <c r="Q23" s="21"/>
      <c r="R23" s="58"/>
      <c r="S23" s="58"/>
      <c r="T23" s="58"/>
      <c r="U23" s="57"/>
      <c r="V23" s="23"/>
      <c r="W23" s="23"/>
      <c r="X23" s="23"/>
    </row>
    <row r="24" spans="1:24" ht="12.75" customHeight="1">
      <c r="A24" s="7"/>
      <c r="B24" s="7"/>
      <c r="C24" s="36">
        <v>16</v>
      </c>
      <c r="D24" s="7"/>
      <c r="E24" s="14" t="s">
        <v>22</v>
      </c>
      <c r="F24" s="7"/>
      <c r="G24" s="37">
        <f>+G26+G30</f>
        <v>26600</v>
      </c>
      <c r="H24" s="37">
        <f t="shared" ref="H24" si="13">+H26+H30</f>
        <v>0</v>
      </c>
      <c r="I24" s="37">
        <f>+I26+I30</f>
        <v>26600</v>
      </c>
      <c r="J24" s="7"/>
      <c r="K24" s="38" t="e">
        <f t="shared" ref="K24:L24" ca="1" si="14">K26+K30</f>
        <v>#NAME?</v>
      </c>
      <c r="L24" s="38">
        <f t="shared" si="14"/>
        <v>0</v>
      </c>
      <c r="M24" s="38" t="e">
        <f ca="1">L24+K24</f>
        <v>#NAME?</v>
      </c>
      <c r="N24" s="7"/>
      <c r="O24" s="39" t="e">
        <f ca="1">M24/I24</f>
        <v>#NAME?</v>
      </c>
      <c r="P24" s="7"/>
      <c r="Q24" s="7"/>
      <c r="R24" s="37">
        <f>+R26+R30</f>
        <v>25050</v>
      </c>
      <c r="S24" s="37">
        <f t="shared" ref="S24:T24" si="15">+S26+S30</f>
        <v>0</v>
      </c>
      <c r="T24" s="37">
        <f t="shared" si="15"/>
        <v>25050</v>
      </c>
      <c r="U24" s="7"/>
      <c r="V24" s="38"/>
      <c r="W24" s="38"/>
      <c r="X24" s="38"/>
    </row>
    <row r="25" spans="1:24" ht="6" customHeight="1">
      <c r="A25" s="49"/>
      <c r="B25" s="49"/>
      <c r="C25" s="22"/>
      <c r="D25" s="21"/>
      <c r="E25" s="21"/>
      <c r="F25" s="21"/>
      <c r="G25" s="58"/>
      <c r="H25" s="58"/>
      <c r="I25" s="58"/>
      <c r="J25" s="21"/>
      <c r="K25" s="23"/>
      <c r="L25" s="23"/>
      <c r="M25" s="23"/>
      <c r="N25" s="21"/>
      <c r="O25" s="59"/>
      <c r="P25" s="21"/>
      <c r="Q25" s="21"/>
      <c r="R25" s="58"/>
      <c r="S25" s="58"/>
      <c r="T25" s="58"/>
      <c r="U25" s="21"/>
      <c r="V25" s="23"/>
      <c r="W25" s="23"/>
      <c r="X25" s="23"/>
    </row>
    <row r="26" spans="1:24" ht="11.25" customHeight="1">
      <c r="A26" s="49"/>
      <c r="B26" s="49"/>
      <c r="C26" s="22">
        <v>160</v>
      </c>
      <c r="D26" s="57"/>
      <c r="E26" s="50" t="s">
        <v>23</v>
      </c>
      <c r="F26" s="57"/>
      <c r="G26" s="51">
        <f>+G27+G28</f>
        <v>23950</v>
      </c>
      <c r="H26" s="51">
        <f t="shared" ref="H26" si="16">+H27+H28</f>
        <v>0</v>
      </c>
      <c r="I26" s="51">
        <f>+I27+I28</f>
        <v>23950</v>
      </c>
      <c r="J26" s="57"/>
      <c r="K26" s="52" t="e">
        <f t="shared" ref="K26:L26" ca="1" si="17">SUM(K27:K28)</f>
        <v>#NAME?</v>
      </c>
      <c r="L26" s="52">
        <f t="shared" si="17"/>
        <v>0</v>
      </c>
      <c r="M26" s="52" t="e">
        <f t="shared" ref="M26:M28" ca="1" si="18">L26+K26</f>
        <v>#NAME?</v>
      </c>
      <c r="N26" s="57"/>
      <c r="O26" s="53" t="e">
        <f t="shared" ref="O26:O28" ca="1" si="19">M26/I26</f>
        <v>#NAME?</v>
      </c>
      <c r="P26" s="57"/>
      <c r="Q26" s="21"/>
      <c r="R26" s="51">
        <f>+R27+R28</f>
        <v>22500</v>
      </c>
      <c r="S26" s="51">
        <f t="shared" ref="S26:T26" si="20">+S27+S28</f>
        <v>0</v>
      </c>
      <c r="T26" s="51">
        <f t="shared" si="20"/>
        <v>22500</v>
      </c>
      <c r="U26" s="57"/>
      <c r="V26" s="23"/>
      <c r="W26" s="52"/>
      <c r="X26" s="52"/>
    </row>
    <row r="27" spans="1:24" ht="11.25" customHeight="1">
      <c r="A27" s="49">
        <v>6420001</v>
      </c>
      <c r="B27" s="49"/>
      <c r="C27" s="22" t="s">
        <v>24</v>
      </c>
      <c r="D27" s="21"/>
      <c r="E27" s="21" t="s">
        <v>25</v>
      </c>
      <c r="F27" s="21"/>
      <c r="G27" s="58">
        <v>18550</v>
      </c>
      <c r="H27" s="58">
        <v>0</v>
      </c>
      <c r="I27" s="58">
        <f>+G27+H27</f>
        <v>18550</v>
      </c>
      <c r="J27" s="21"/>
      <c r="K27" s="23" t="e">
        <f ca="1">VALUE(Q27)</f>
        <v>#NAME?</v>
      </c>
      <c r="L27" s="23">
        <f t="shared" ref="L27:L28" si="21">SUM(L28:L29)</f>
        <v>0</v>
      </c>
      <c r="M27" s="23" t="e">
        <f t="shared" ca="1" si="18"/>
        <v>#NAME?</v>
      </c>
      <c r="N27" s="21"/>
      <c r="O27" s="59" t="e">
        <f t="shared" ca="1" si="19"/>
        <v>#NAME?</v>
      </c>
      <c r="P27" s="21"/>
      <c r="Q27" s="21" t="e" cm="1">
        <f t="array" aca="1" ref="Q27" ca="1">[1]!CN(64200000,,0,0,M2)-397.02*M2-(816.84*0.15*M2)</f>
        <v>#NAME?</v>
      </c>
      <c r="R27" s="58">
        <v>17500</v>
      </c>
      <c r="S27" s="58">
        <v>0</v>
      </c>
      <c r="T27" s="58">
        <v>17500</v>
      </c>
      <c r="U27" s="21"/>
      <c r="V27" s="23"/>
      <c r="W27" s="23"/>
      <c r="X27" s="23"/>
    </row>
    <row r="28" spans="1:24" ht="11.25" customHeight="1">
      <c r="A28" s="49">
        <v>6420002</v>
      </c>
      <c r="B28" s="49"/>
      <c r="C28" s="22" t="s">
        <v>26</v>
      </c>
      <c r="D28" s="21"/>
      <c r="E28" s="21" t="s">
        <v>27</v>
      </c>
      <c r="F28" s="21"/>
      <c r="G28" s="58">
        <v>5400</v>
      </c>
      <c r="H28" s="58">
        <v>0</v>
      </c>
      <c r="I28" s="58">
        <f>+G28+H28</f>
        <v>5400</v>
      </c>
      <c r="J28" s="21"/>
      <c r="K28" s="23">
        <f>VALUE(Q28)</f>
        <v>1191.06</v>
      </c>
      <c r="L28" s="23">
        <f t="shared" si="21"/>
        <v>0</v>
      </c>
      <c r="M28" s="23">
        <f t="shared" si="18"/>
        <v>1191.06</v>
      </c>
      <c r="N28" s="21"/>
      <c r="O28" s="59">
        <f t="shared" si="19"/>
        <v>0.22056666666666666</v>
      </c>
      <c r="P28" s="21"/>
      <c r="Q28" s="21">
        <f>397.02*M2</f>
        <v>1191.06</v>
      </c>
      <c r="R28" s="58">
        <v>5000</v>
      </c>
      <c r="S28" s="58">
        <v>0</v>
      </c>
      <c r="T28" s="58">
        <v>5000</v>
      </c>
      <c r="U28" s="21"/>
      <c r="V28" s="23"/>
      <c r="W28" s="23"/>
      <c r="X28" s="23"/>
    </row>
    <row r="29" spans="1:24" ht="11.25" customHeight="1">
      <c r="A29" s="49"/>
      <c r="B29" s="49"/>
      <c r="C29" s="22"/>
      <c r="D29" s="21"/>
      <c r="E29" s="21"/>
      <c r="F29" s="21"/>
      <c r="G29" s="58"/>
      <c r="H29" s="58"/>
      <c r="I29" s="58"/>
      <c r="J29" s="21"/>
      <c r="K29" s="23"/>
      <c r="L29" s="23"/>
      <c r="M29" s="23"/>
      <c r="N29" s="21"/>
      <c r="O29" s="59"/>
      <c r="P29" s="21"/>
      <c r="Q29" s="21"/>
      <c r="R29" s="58"/>
      <c r="S29" s="58"/>
      <c r="T29" s="58"/>
      <c r="U29" s="21"/>
      <c r="V29" s="23"/>
      <c r="W29" s="23"/>
      <c r="X29" s="23"/>
    </row>
    <row r="30" spans="1:24" ht="11.25" customHeight="1">
      <c r="A30" s="49">
        <v>649</v>
      </c>
      <c r="B30" s="49"/>
      <c r="C30" s="22">
        <v>162</v>
      </c>
      <c r="D30" s="21"/>
      <c r="E30" s="21" t="s">
        <v>28</v>
      </c>
      <c r="F30" s="21"/>
      <c r="G30" s="51">
        <f>+G31+G32+G33+G34</f>
        <v>2650</v>
      </c>
      <c r="H30" s="51">
        <f t="shared" ref="H30" si="22">+H31+H32+H33+H34</f>
        <v>0</v>
      </c>
      <c r="I30" s="51">
        <f>+I31+I32+I33+I34</f>
        <v>2650</v>
      </c>
      <c r="J30" s="21"/>
      <c r="K30" s="52" t="e">
        <f t="shared" ref="K30:L30" ca="1" si="23">SUM(K31:K34)</f>
        <v>#NAME?</v>
      </c>
      <c r="L30" s="52">
        <f t="shared" si="23"/>
        <v>0</v>
      </c>
      <c r="M30" s="52" t="e">
        <f ca="1">L30+K30</f>
        <v>#NAME?</v>
      </c>
      <c r="N30" s="21"/>
      <c r="O30" s="53" t="e">
        <f ca="1">M30/I30</f>
        <v>#NAME?</v>
      </c>
      <c r="P30" s="21"/>
      <c r="Q30" s="21"/>
      <c r="R30" s="51">
        <f t="shared" ref="R30:S30" si="24">+R31+R32+R33+R34</f>
        <v>2550</v>
      </c>
      <c r="S30" s="51">
        <f t="shared" si="24"/>
        <v>0</v>
      </c>
      <c r="T30" s="51">
        <f>+T31+T32+T33+T34</f>
        <v>2550</v>
      </c>
      <c r="U30" s="21"/>
      <c r="V30" s="23"/>
      <c r="W30" s="52"/>
      <c r="X30" s="52"/>
    </row>
    <row r="31" spans="1:24" ht="11.25" customHeight="1">
      <c r="A31" s="49">
        <v>6490001</v>
      </c>
      <c r="B31" s="49"/>
      <c r="C31" s="22" t="s">
        <v>29</v>
      </c>
      <c r="D31" s="21"/>
      <c r="E31" s="21" t="s">
        <v>30</v>
      </c>
      <c r="F31" s="21"/>
      <c r="G31" s="58">
        <v>2000</v>
      </c>
      <c r="H31" s="58">
        <v>0</v>
      </c>
      <c r="I31" s="58">
        <f>+G31+H31</f>
        <v>2000</v>
      </c>
      <c r="J31" s="21"/>
      <c r="K31" s="23">
        <f t="shared" ref="K31:K34" si="25">VALUE(Q31)</f>
        <v>0</v>
      </c>
      <c r="L31" s="23">
        <v>0</v>
      </c>
      <c r="M31" s="23">
        <v>0</v>
      </c>
      <c r="N31" s="21"/>
      <c r="O31" s="59">
        <v>0</v>
      </c>
      <c r="P31" s="21"/>
      <c r="Q31" s="21"/>
      <c r="R31" s="58">
        <v>2000</v>
      </c>
      <c r="S31" s="58">
        <v>0</v>
      </c>
      <c r="T31" s="58">
        <v>2000</v>
      </c>
      <c r="U31" s="21"/>
      <c r="V31" s="23"/>
      <c r="W31" s="23"/>
      <c r="X31" s="23"/>
    </row>
    <row r="32" spans="1:24" ht="11.25" customHeight="1">
      <c r="A32" s="49">
        <v>6490002</v>
      </c>
      <c r="B32" s="49"/>
      <c r="C32" s="22" t="s">
        <v>31</v>
      </c>
      <c r="D32" s="21"/>
      <c r="E32" s="21" t="s">
        <v>32</v>
      </c>
      <c r="F32" s="21"/>
      <c r="G32" s="58">
        <v>550</v>
      </c>
      <c r="H32" s="58">
        <v>0</v>
      </c>
      <c r="I32" s="58">
        <f t="shared" ref="I32:I34" si="26">+G32+H32</f>
        <v>550</v>
      </c>
      <c r="J32" s="21"/>
      <c r="K32" s="23" t="e">
        <f ca="1">VALUE(Q32)</f>
        <v>#NAME?</v>
      </c>
      <c r="L32" s="23">
        <v>0</v>
      </c>
      <c r="M32" s="23" t="e">
        <f ca="1">+K32+L32</f>
        <v>#NAME?</v>
      </c>
      <c r="N32" s="21"/>
      <c r="O32" s="59" t="e">
        <f ca="1">M32/I32</f>
        <v>#NAME?</v>
      </c>
      <c r="P32" s="21"/>
      <c r="Q32" s="21" t="e" cm="1">
        <f t="array" aca="1" ref="Q32" ca="1">[1]!CN(64900001,,0,1,10)</f>
        <v>#NAME?</v>
      </c>
      <c r="R32" s="58">
        <v>550</v>
      </c>
      <c r="S32" s="58">
        <v>0</v>
      </c>
      <c r="T32" s="58">
        <v>550</v>
      </c>
      <c r="U32" s="21"/>
      <c r="V32" s="23"/>
      <c r="W32" s="23"/>
      <c r="X32" s="23"/>
    </row>
    <row r="33" spans="1:24" ht="11.25" customHeight="1">
      <c r="A33" s="49">
        <v>6490003</v>
      </c>
      <c r="B33" s="49"/>
      <c r="C33" s="22" t="s">
        <v>33</v>
      </c>
      <c r="D33" s="21"/>
      <c r="E33" s="21" t="s">
        <v>34</v>
      </c>
      <c r="F33" s="21"/>
      <c r="G33" s="58">
        <v>100</v>
      </c>
      <c r="H33" s="58">
        <v>0</v>
      </c>
      <c r="I33" s="58">
        <f t="shared" si="26"/>
        <v>100</v>
      </c>
      <c r="J33" s="21"/>
      <c r="K33" s="23">
        <f t="shared" si="25"/>
        <v>0</v>
      </c>
      <c r="L33" s="23">
        <v>0</v>
      </c>
      <c r="M33" s="23">
        <v>0</v>
      </c>
      <c r="N33" s="21"/>
      <c r="O33" s="59">
        <v>0</v>
      </c>
      <c r="P33" s="21"/>
      <c r="Q33" s="21"/>
      <c r="R33" s="58">
        <v>0</v>
      </c>
      <c r="S33" s="58">
        <v>0</v>
      </c>
      <c r="T33" s="58">
        <v>0</v>
      </c>
      <c r="U33" s="21"/>
      <c r="V33" s="23"/>
      <c r="W33" s="23"/>
      <c r="X33" s="23"/>
    </row>
    <row r="34" spans="1:24" ht="11.25" customHeight="1">
      <c r="A34" s="49">
        <v>6490004</v>
      </c>
      <c r="B34" s="49"/>
      <c r="C34" s="22" t="s">
        <v>35</v>
      </c>
      <c r="D34" s="21"/>
      <c r="E34" s="21" t="s">
        <v>36</v>
      </c>
      <c r="F34" s="21"/>
      <c r="G34" s="58">
        <v>0</v>
      </c>
      <c r="H34" s="58">
        <v>0</v>
      </c>
      <c r="I34" s="58">
        <f t="shared" si="26"/>
        <v>0</v>
      </c>
      <c r="J34" s="21"/>
      <c r="K34" s="23">
        <f t="shared" si="25"/>
        <v>0</v>
      </c>
      <c r="L34" s="23">
        <v>0</v>
      </c>
      <c r="M34" s="23">
        <f>K34+L34</f>
        <v>0</v>
      </c>
      <c r="N34" s="21"/>
      <c r="O34" s="59">
        <v>0</v>
      </c>
      <c r="P34" s="21"/>
      <c r="Q34" s="21"/>
      <c r="R34" s="58">
        <v>0</v>
      </c>
      <c r="S34" s="58">
        <v>0</v>
      </c>
      <c r="T34" s="58">
        <v>0</v>
      </c>
      <c r="U34" s="21"/>
      <c r="V34" s="23"/>
      <c r="W34" s="23"/>
      <c r="X34" s="23"/>
    </row>
    <row r="35" spans="1:24" ht="9.75" customHeight="1">
      <c r="A35" s="49"/>
      <c r="B35" s="49"/>
      <c r="C35" s="22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65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12.75" customHeight="1">
      <c r="A36" s="49"/>
      <c r="B36" s="49"/>
      <c r="C36" s="22"/>
      <c r="D36" s="21"/>
      <c r="E36" s="21"/>
      <c r="F36" s="21"/>
      <c r="G36" s="375" t="s">
        <v>0</v>
      </c>
      <c r="H36" s="375"/>
      <c r="I36" s="375"/>
      <c r="J36" s="375"/>
      <c r="K36" s="375"/>
      <c r="L36" s="312"/>
      <c r="M36" s="23"/>
      <c r="N36" s="21"/>
      <c r="O36" s="24"/>
      <c r="P36" s="21"/>
      <c r="Q36" s="21"/>
      <c r="R36" s="375"/>
      <c r="S36" s="375"/>
      <c r="T36" s="375"/>
      <c r="U36" s="375"/>
      <c r="V36" s="375"/>
      <c r="W36" s="312"/>
      <c r="X36" s="23"/>
    </row>
    <row r="37" spans="1:24" ht="6.75" customHeight="1">
      <c r="A37" s="49"/>
      <c r="B37" s="49"/>
      <c r="C37" s="22"/>
      <c r="D37" s="21"/>
      <c r="E37" s="21"/>
      <c r="F37" s="21"/>
      <c r="G37" s="23"/>
      <c r="H37" s="23"/>
      <c r="I37" s="23"/>
      <c r="J37" s="21"/>
      <c r="K37" s="23"/>
      <c r="L37" s="23"/>
      <c r="M37" s="23"/>
      <c r="N37" s="21"/>
      <c r="O37" s="24"/>
      <c r="P37" s="21"/>
      <c r="Q37" s="21"/>
      <c r="R37" s="23"/>
      <c r="S37" s="23"/>
      <c r="T37" s="23"/>
      <c r="U37" s="21"/>
      <c r="V37" s="23"/>
      <c r="W37" s="23"/>
      <c r="X37" s="23"/>
    </row>
    <row r="38" spans="1:24" ht="6.75" customHeight="1" thickBot="1">
      <c r="A38" s="21"/>
      <c r="B38" s="21"/>
      <c r="C38" s="22"/>
      <c r="D38" s="21"/>
      <c r="E38" s="21"/>
      <c r="F38" s="21"/>
      <c r="J38" s="21"/>
      <c r="N38" s="21"/>
      <c r="O38" s="24"/>
      <c r="P38" s="21"/>
      <c r="Q38" s="21"/>
      <c r="U38" s="21"/>
    </row>
    <row r="39" spans="1:24" ht="12.75" customHeight="1">
      <c r="A39" s="396" t="s">
        <v>1</v>
      </c>
      <c r="B39" s="10"/>
      <c r="C39" s="398" t="s">
        <v>2</v>
      </c>
      <c r="D39" s="11"/>
      <c r="E39" s="401" t="s">
        <v>3</v>
      </c>
      <c r="F39" s="11"/>
      <c r="G39" s="376" t="s">
        <v>454</v>
      </c>
      <c r="H39" s="377"/>
      <c r="I39" s="378"/>
      <c r="J39" s="11"/>
      <c r="K39" s="400" t="s">
        <v>444</v>
      </c>
      <c r="L39" s="377"/>
      <c r="M39" s="378"/>
      <c r="N39" s="11"/>
      <c r="O39" s="12" t="s">
        <v>5</v>
      </c>
      <c r="P39" s="11"/>
      <c r="Q39" s="14"/>
      <c r="R39" s="376" t="s">
        <v>445</v>
      </c>
      <c r="S39" s="377"/>
      <c r="T39" s="378"/>
      <c r="U39" s="11"/>
      <c r="V39" s="382"/>
      <c r="W39" s="383"/>
      <c r="X39" s="383"/>
    </row>
    <row r="40" spans="1:24" ht="27.75" customHeight="1" thickBot="1">
      <c r="A40" s="397"/>
      <c r="B40" s="10"/>
      <c r="C40" s="399"/>
      <c r="D40" s="14"/>
      <c r="E40" s="402"/>
      <c r="F40" s="14"/>
      <c r="G40" s="379"/>
      <c r="H40" s="380"/>
      <c r="I40" s="381"/>
      <c r="J40" s="14"/>
      <c r="K40" s="379"/>
      <c r="L40" s="380"/>
      <c r="M40" s="381"/>
      <c r="N40" s="14"/>
      <c r="O40" s="16" t="s">
        <v>443</v>
      </c>
      <c r="P40" s="14"/>
      <c r="Q40" s="14"/>
      <c r="R40" s="379"/>
      <c r="S40" s="380"/>
      <c r="T40" s="381"/>
      <c r="U40" s="14"/>
      <c r="V40" s="383"/>
      <c r="W40" s="383"/>
      <c r="X40" s="383"/>
    </row>
    <row r="41" spans="1:24" ht="4.5" customHeight="1">
      <c r="A41" s="21"/>
      <c r="B41" s="21"/>
      <c r="C41" s="22"/>
      <c r="D41" s="21"/>
      <c r="E41" s="21"/>
      <c r="F41" s="21"/>
      <c r="G41" s="23"/>
      <c r="H41" s="23"/>
      <c r="I41" s="23"/>
      <c r="J41" s="21"/>
      <c r="K41" s="23"/>
      <c r="L41" s="23"/>
      <c r="M41" s="23"/>
      <c r="N41" s="21"/>
      <c r="O41" s="24"/>
      <c r="P41" s="21"/>
      <c r="Q41" s="21"/>
      <c r="R41" s="23"/>
      <c r="S41" s="23"/>
      <c r="T41" s="23"/>
      <c r="U41" s="21"/>
      <c r="V41" s="317"/>
      <c r="W41" s="317"/>
      <c r="X41" s="317"/>
    </row>
    <row r="42" spans="1:24" ht="13.5" customHeight="1" thickBot="1">
      <c r="A42" s="21"/>
      <c r="B42" s="21"/>
      <c r="C42" s="22"/>
      <c r="D42" s="21"/>
      <c r="E42" s="21"/>
      <c r="F42" s="21"/>
      <c r="G42" s="23" t="s">
        <v>6</v>
      </c>
      <c r="H42" s="23" t="s">
        <v>7</v>
      </c>
      <c r="I42" s="23" t="s">
        <v>8</v>
      </c>
      <c r="J42" s="21"/>
      <c r="K42" s="23" t="s">
        <v>6</v>
      </c>
      <c r="L42" s="23" t="s">
        <v>7</v>
      </c>
      <c r="M42" s="23" t="s">
        <v>8</v>
      </c>
      <c r="N42" s="21"/>
      <c r="O42" s="24"/>
      <c r="P42" s="21"/>
      <c r="Q42" s="21"/>
      <c r="R42" s="23" t="s">
        <v>6</v>
      </c>
      <c r="S42" s="23" t="s">
        <v>7</v>
      </c>
      <c r="T42" s="23" t="s">
        <v>8</v>
      </c>
      <c r="U42" s="21"/>
      <c r="V42" s="317"/>
      <c r="W42" s="317"/>
      <c r="X42" s="317"/>
    </row>
    <row r="43" spans="1:24" ht="17.25" customHeight="1" thickTop="1" thickBot="1">
      <c r="A43" s="26"/>
      <c r="B43" s="26"/>
      <c r="C43" s="334">
        <v>2</v>
      </c>
      <c r="D43" s="28"/>
      <c r="E43" s="335" t="s">
        <v>38</v>
      </c>
      <c r="F43" s="28"/>
      <c r="G43" s="68">
        <f>SUM(G45,G55,G111)</f>
        <v>200385</v>
      </c>
      <c r="H43" s="68">
        <v>0</v>
      </c>
      <c r="I43" s="30">
        <f>SUM(I45,I55,I111)</f>
        <v>200385</v>
      </c>
      <c r="J43" s="28"/>
      <c r="K43" s="31" t="e">
        <f ca="1">K45+K55+K111</f>
        <v>#NAME?</v>
      </c>
      <c r="L43" s="31">
        <f>L45+L55+L111</f>
        <v>0</v>
      </c>
      <c r="M43" s="31" t="e">
        <f ca="1">L43+K43</f>
        <v>#NAME?</v>
      </c>
      <c r="N43" s="28"/>
      <c r="O43" s="32" t="e">
        <f ca="1">M43/I43</f>
        <v>#NAME?</v>
      </c>
      <c r="P43" s="28"/>
      <c r="Q43" s="72"/>
      <c r="R43" s="68">
        <f>SUM(R45,R55,R111)</f>
        <v>204250</v>
      </c>
      <c r="S43" s="68">
        <v>0</v>
      </c>
      <c r="T43" s="30">
        <f>SUM(T45,T55,T111)</f>
        <v>204250</v>
      </c>
      <c r="U43" s="28"/>
      <c r="V43" s="318"/>
      <c r="W43" s="318"/>
      <c r="X43" s="318"/>
    </row>
    <row r="44" spans="1:24" ht="9.75" customHeight="1" thickTop="1">
      <c r="A44" s="7"/>
      <c r="B44" s="7"/>
      <c r="C44" s="8"/>
      <c r="D44" s="7"/>
      <c r="E44" s="7"/>
      <c r="F44" s="7"/>
      <c r="G44" s="7"/>
      <c r="H44" s="7"/>
      <c r="I44" s="44"/>
      <c r="J44" s="7"/>
      <c r="K44" s="44"/>
      <c r="L44" s="44"/>
      <c r="M44" s="44"/>
      <c r="N44" s="7"/>
      <c r="O44" s="73"/>
      <c r="P44" s="7"/>
      <c r="Q44" s="7"/>
      <c r="R44" s="7"/>
      <c r="S44" s="7"/>
      <c r="T44" s="44"/>
      <c r="U44" s="7"/>
      <c r="V44" s="319"/>
      <c r="W44" s="319"/>
      <c r="X44" s="319"/>
    </row>
    <row r="45" spans="1:24" ht="12.75" customHeight="1">
      <c r="A45" s="49"/>
      <c r="B45" s="49"/>
      <c r="C45" s="36">
        <v>21</v>
      </c>
      <c r="D45" s="7"/>
      <c r="E45" s="14" t="s">
        <v>39</v>
      </c>
      <c r="F45" s="7"/>
      <c r="G45" s="37">
        <f>SUM(G47:G53)</f>
        <v>30900</v>
      </c>
      <c r="H45" s="37">
        <f t="shared" ref="H45:I45" si="27">SUM(H47:H53)</f>
        <v>0</v>
      </c>
      <c r="I45" s="37">
        <f t="shared" si="27"/>
        <v>30900</v>
      </c>
      <c r="J45" s="7"/>
      <c r="K45" s="74" t="e">
        <f t="shared" ref="K45:L45" ca="1" si="28">SUM(K47:K53)</f>
        <v>#NAME?</v>
      </c>
      <c r="L45" s="74">
        <f t="shared" si="28"/>
        <v>0</v>
      </c>
      <c r="M45" s="74" t="e">
        <f ca="1">L45+K45</f>
        <v>#NAME?</v>
      </c>
      <c r="N45" s="75"/>
      <c r="O45" s="39" t="e">
        <f ca="1">M45/I45</f>
        <v>#NAME?</v>
      </c>
      <c r="P45" s="7"/>
      <c r="Q45" s="7"/>
      <c r="R45" s="37">
        <f>SUM(R47:R53)</f>
        <v>23800</v>
      </c>
      <c r="S45" s="37">
        <f t="shared" ref="S45:T45" si="29">SUM(S47:S53)</f>
        <v>0</v>
      </c>
      <c r="T45" s="37">
        <f t="shared" si="29"/>
        <v>23800</v>
      </c>
      <c r="U45" s="7"/>
      <c r="V45" s="74"/>
      <c r="W45" s="74"/>
      <c r="X45" s="74"/>
    </row>
    <row r="46" spans="1:24" ht="6" customHeight="1">
      <c r="A46" s="49"/>
      <c r="B46" s="49"/>
      <c r="C46" s="8"/>
      <c r="D46" s="7"/>
      <c r="E46" s="7"/>
      <c r="F46" s="7"/>
      <c r="G46" s="43"/>
      <c r="H46" s="43"/>
      <c r="I46" s="43"/>
      <c r="J46" s="7"/>
      <c r="K46" s="76"/>
      <c r="L46" s="76"/>
      <c r="M46" s="76"/>
      <c r="N46" s="75"/>
      <c r="O46" s="45"/>
      <c r="P46" s="7"/>
      <c r="Q46" s="7"/>
      <c r="R46" s="43"/>
      <c r="S46" s="43"/>
      <c r="T46" s="43"/>
      <c r="U46" s="7"/>
      <c r="V46" s="76"/>
      <c r="W46" s="76"/>
      <c r="X46" s="76"/>
    </row>
    <row r="47" spans="1:24" ht="12" customHeight="1">
      <c r="A47" s="49">
        <v>6220001</v>
      </c>
      <c r="B47" s="49"/>
      <c r="C47" s="22">
        <v>212</v>
      </c>
      <c r="D47" s="21"/>
      <c r="E47" s="21" t="s">
        <v>40</v>
      </c>
      <c r="F47" s="21"/>
      <c r="G47" s="58">
        <v>2500</v>
      </c>
      <c r="H47" s="58">
        <v>0</v>
      </c>
      <c r="I47" s="58">
        <f>+G47+H47</f>
        <v>2500</v>
      </c>
      <c r="J47" s="21"/>
      <c r="K47" s="77" t="e">
        <f ca="1">VALUE(Q47)</f>
        <v>#NAME?</v>
      </c>
      <c r="L47" s="77">
        <v>0</v>
      </c>
      <c r="M47" s="77" t="e">
        <f ca="1">K47+L47</f>
        <v>#NAME?</v>
      </c>
      <c r="N47" s="78"/>
      <c r="O47" s="59" t="e">
        <f ca="1">M47/I47</f>
        <v>#NAME?</v>
      </c>
      <c r="P47" s="21"/>
      <c r="Q47" s="21" t="e" cm="1">
        <f t="array" aca="1" ref="Q47" ca="1">[1]!CN(62200001,,0,0,$M$2)</f>
        <v>#NAME?</v>
      </c>
      <c r="R47" s="58">
        <v>4500</v>
      </c>
      <c r="S47" s="58">
        <v>0</v>
      </c>
      <c r="T47" s="58">
        <v>4500</v>
      </c>
      <c r="U47" s="21"/>
      <c r="V47" s="77"/>
      <c r="W47" s="77"/>
      <c r="X47" s="77"/>
    </row>
    <row r="48" spans="1:24" ht="11.25" customHeight="1">
      <c r="A48" s="49">
        <v>6220003</v>
      </c>
      <c r="B48" s="49"/>
      <c r="C48" s="22">
        <v>213</v>
      </c>
      <c r="D48" s="21"/>
      <c r="E48" s="21" t="s">
        <v>42</v>
      </c>
      <c r="F48" s="21"/>
      <c r="G48" s="58">
        <v>1000</v>
      </c>
      <c r="H48" s="58">
        <v>0</v>
      </c>
      <c r="I48" s="58">
        <f t="shared" ref="I48:I53" si="30">+G48+H48</f>
        <v>1000</v>
      </c>
      <c r="J48" s="21"/>
      <c r="K48" s="77" t="e">
        <f ca="1">VALUE(Q48)</f>
        <v>#NAME?</v>
      </c>
      <c r="L48" s="77">
        <v>0</v>
      </c>
      <c r="M48" s="77" t="e">
        <f ca="1">K48+L48</f>
        <v>#NAME?</v>
      </c>
      <c r="N48" s="78"/>
      <c r="O48" s="59" t="e">
        <f ca="1">M48/I48</f>
        <v>#NAME?</v>
      </c>
      <c r="P48" s="21"/>
      <c r="Q48" s="21" t="e" cm="1">
        <f t="array" aca="1" ref="Q48" ca="1">[1]!CN(62200003,,0,0,$M$2)+[1]!CN(62100003,,0,0,$M$2)</f>
        <v>#NAME?</v>
      </c>
      <c r="R48" s="58">
        <v>1000</v>
      </c>
      <c r="S48" s="58">
        <v>0</v>
      </c>
      <c r="T48" s="58">
        <v>1000</v>
      </c>
      <c r="U48" s="21"/>
      <c r="V48" s="77"/>
      <c r="W48" s="77"/>
      <c r="X48" s="77"/>
    </row>
    <row r="49" spans="1:24" ht="11.25" customHeight="1">
      <c r="A49" s="49">
        <v>6220005</v>
      </c>
      <c r="B49" s="49"/>
      <c r="C49" s="22">
        <v>215</v>
      </c>
      <c r="D49" s="21"/>
      <c r="E49" s="21" t="s">
        <v>43</v>
      </c>
      <c r="F49" s="21"/>
      <c r="G49" s="58">
        <v>1000</v>
      </c>
      <c r="H49" s="58">
        <v>0</v>
      </c>
      <c r="I49" s="58">
        <f t="shared" si="30"/>
        <v>1000</v>
      </c>
      <c r="J49" s="21"/>
      <c r="K49" s="77">
        <f>VALUE(Q49)</f>
        <v>0</v>
      </c>
      <c r="L49" s="77">
        <v>0</v>
      </c>
      <c r="M49" s="77">
        <f>K49+L49</f>
        <v>0</v>
      </c>
      <c r="N49" s="78"/>
      <c r="O49" s="59">
        <f t="shared" ref="O49:O50" si="31">M49/I49</f>
        <v>0</v>
      </c>
      <c r="P49" s="21"/>
      <c r="Q49" s="21"/>
      <c r="R49" s="58">
        <v>1000</v>
      </c>
      <c r="S49" s="58">
        <v>0</v>
      </c>
      <c r="T49" s="58">
        <v>1000</v>
      </c>
      <c r="U49" s="21"/>
      <c r="V49" s="77"/>
      <c r="W49" s="77"/>
      <c r="X49" s="77"/>
    </row>
    <row r="50" spans="1:24" ht="11.25" customHeight="1">
      <c r="A50" s="49">
        <v>6220006</v>
      </c>
      <c r="B50" s="49"/>
      <c r="C50" s="22">
        <v>216</v>
      </c>
      <c r="D50" s="21"/>
      <c r="E50" s="21" t="s">
        <v>448</v>
      </c>
      <c r="F50" s="21"/>
      <c r="G50" s="58">
        <v>4200</v>
      </c>
      <c r="H50" s="58">
        <v>0</v>
      </c>
      <c r="I50" s="58">
        <f t="shared" si="30"/>
        <v>4200</v>
      </c>
      <c r="J50" s="21"/>
      <c r="K50" s="77" t="e">
        <f ca="1">VALUE(Q50)</f>
        <v>#NAME?</v>
      </c>
      <c r="L50" s="77">
        <v>0</v>
      </c>
      <c r="M50" s="77" t="e">
        <f ca="1">K50+L50</f>
        <v>#NAME?</v>
      </c>
      <c r="N50" s="78"/>
      <c r="O50" s="59" t="e">
        <f t="shared" ca="1" si="31"/>
        <v>#NAME?</v>
      </c>
      <c r="P50" s="21"/>
      <c r="Q50" s="21" t="e" cm="1">
        <f t="array" aca="1" ref="Q50" ca="1">[1]!CN(62200006,,0,0,$M$2)</f>
        <v>#NAME?</v>
      </c>
      <c r="R50" s="58">
        <v>3800</v>
      </c>
      <c r="S50" s="58">
        <v>0</v>
      </c>
      <c r="T50" s="58">
        <f>+R50+S50</f>
        <v>3800</v>
      </c>
      <c r="U50" s="21"/>
      <c r="V50" s="77"/>
      <c r="W50" s="77"/>
      <c r="X50" s="77"/>
    </row>
    <row r="51" spans="1:24" ht="11.25" customHeight="1">
      <c r="A51" s="49"/>
      <c r="B51" s="49"/>
      <c r="C51" s="22">
        <v>217</v>
      </c>
      <c r="D51" s="57"/>
      <c r="E51" s="21" t="s">
        <v>45</v>
      </c>
      <c r="F51" s="57"/>
      <c r="G51" s="58">
        <v>0</v>
      </c>
      <c r="H51" s="58">
        <v>0</v>
      </c>
      <c r="I51" s="58">
        <f t="shared" si="30"/>
        <v>0</v>
      </c>
      <c r="J51" s="57"/>
      <c r="K51" s="77">
        <f t="shared" ref="K51:K53" si="32">VALUE(Q51)</f>
        <v>0</v>
      </c>
      <c r="L51" s="77">
        <v>0</v>
      </c>
      <c r="M51" s="77">
        <f t="shared" ref="M51:M52" si="33">K51+L51</f>
        <v>0</v>
      </c>
      <c r="N51" s="79"/>
      <c r="O51" s="59">
        <v>0</v>
      </c>
      <c r="P51" s="57"/>
      <c r="Q51" s="21"/>
      <c r="R51" s="58">
        <v>0</v>
      </c>
      <c r="S51" s="58">
        <v>0</v>
      </c>
      <c r="T51" s="58">
        <v>0</v>
      </c>
      <c r="U51" s="57"/>
      <c r="V51" s="77"/>
      <c r="W51" s="77"/>
      <c r="X51" s="77"/>
    </row>
    <row r="52" spans="1:24" ht="11.25" customHeight="1">
      <c r="A52" s="49">
        <v>6220009</v>
      </c>
      <c r="B52" s="49" t="s">
        <v>258</v>
      </c>
      <c r="C52" s="22">
        <v>219</v>
      </c>
      <c r="D52" s="21"/>
      <c r="E52" s="21" t="s">
        <v>455</v>
      </c>
      <c r="F52" s="21"/>
      <c r="G52" s="58">
        <v>22200</v>
      </c>
      <c r="H52" s="58">
        <v>0</v>
      </c>
      <c r="I52" s="58">
        <f t="shared" si="30"/>
        <v>22200</v>
      </c>
      <c r="J52" s="21"/>
      <c r="K52" s="77" t="e">
        <f ca="1">VALUE(Q52)</f>
        <v>#NAME?</v>
      </c>
      <c r="L52" s="77">
        <v>0</v>
      </c>
      <c r="M52" s="77" t="e">
        <f t="shared" ca="1" si="33"/>
        <v>#NAME?</v>
      </c>
      <c r="N52" s="78"/>
      <c r="O52" s="59" t="e">
        <f ca="1">M52/I52</f>
        <v>#NAME?</v>
      </c>
      <c r="P52" s="21"/>
      <c r="Q52" s="21" t="e" cm="1">
        <f t="array" aca="1" ref="Q52" ca="1">[1]!CN(62200009,,0,0,$M$2)</f>
        <v>#NAME?</v>
      </c>
      <c r="R52" s="58">
        <v>13500</v>
      </c>
      <c r="S52" s="58">
        <v>0</v>
      </c>
      <c r="T52" s="58">
        <f>+R52+S52</f>
        <v>13500</v>
      </c>
      <c r="U52" s="21"/>
      <c r="V52" s="77"/>
      <c r="W52" s="77"/>
      <c r="X52" s="77"/>
    </row>
    <row r="53" spans="1:24" ht="12.75" customHeight="1">
      <c r="A53" s="49"/>
      <c r="B53" s="49"/>
      <c r="C53" s="22">
        <v>220</v>
      </c>
      <c r="D53" s="80"/>
      <c r="E53" s="21" t="s">
        <v>46</v>
      </c>
      <c r="F53" s="80"/>
      <c r="G53" s="58">
        <v>0</v>
      </c>
      <c r="H53" s="58">
        <v>0</v>
      </c>
      <c r="I53" s="58">
        <f t="shared" si="30"/>
        <v>0</v>
      </c>
      <c r="J53" s="80"/>
      <c r="K53" s="77">
        <f t="shared" si="32"/>
        <v>0</v>
      </c>
      <c r="L53" s="77">
        <v>0</v>
      </c>
      <c r="M53" s="77">
        <v>0</v>
      </c>
      <c r="N53" s="81"/>
      <c r="O53" s="59">
        <v>0</v>
      </c>
      <c r="P53" s="80"/>
      <c r="Q53" s="21"/>
      <c r="R53" s="58">
        <v>0</v>
      </c>
      <c r="S53" s="58">
        <v>0</v>
      </c>
      <c r="T53" s="58">
        <v>0</v>
      </c>
      <c r="U53" s="80"/>
      <c r="V53" s="77"/>
      <c r="W53" s="77"/>
      <c r="X53" s="77"/>
    </row>
    <row r="54" spans="1:24" ht="12.75" customHeight="1">
      <c r="A54" s="49"/>
      <c r="B54" s="49"/>
      <c r="C54" s="8"/>
      <c r="D54" s="7"/>
      <c r="E54" s="7"/>
      <c r="F54" s="7"/>
      <c r="G54" s="43"/>
      <c r="H54" s="43"/>
      <c r="I54" s="43"/>
      <c r="J54" s="7"/>
      <c r="K54" s="76"/>
      <c r="L54" s="76"/>
      <c r="M54" s="76"/>
      <c r="N54" s="75"/>
      <c r="O54" s="45"/>
      <c r="P54" s="7"/>
      <c r="Q54" s="7"/>
      <c r="R54" s="43"/>
      <c r="S54" s="43"/>
      <c r="T54" s="43"/>
      <c r="U54" s="7"/>
      <c r="V54" s="76"/>
      <c r="W54" s="76"/>
      <c r="X54" s="76"/>
    </row>
    <row r="55" spans="1:24" ht="12.75" customHeight="1">
      <c r="A55" s="49"/>
      <c r="B55" s="49"/>
      <c r="C55" s="36">
        <v>22</v>
      </c>
      <c r="D55" s="7"/>
      <c r="E55" s="14" t="s">
        <v>47</v>
      </c>
      <c r="F55" s="7"/>
      <c r="G55" s="37">
        <f>+G57+G64+G68+G79+G84+G87+G100</f>
        <v>112985</v>
      </c>
      <c r="H55" s="37">
        <f>+H57+H64+H68+H79+H84+H87+H100</f>
        <v>0</v>
      </c>
      <c r="I55" s="37">
        <f>+I57+I64+I68+I79+I84+I87+I100</f>
        <v>112985</v>
      </c>
      <c r="J55" s="7"/>
      <c r="K55" s="74" t="e">
        <f ca="1">K57+K64+K68+K79+K84+K87+K100</f>
        <v>#NAME?</v>
      </c>
      <c r="L55" s="74">
        <f>L57+L64+L68+L79+L84+L87+L100</f>
        <v>0</v>
      </c>
      <c r="M55" s="74" t="e">
        <f ca="1">L55+K55</f>
        <v>#NAME?</v>
      </c>
      <c r="N55" s="75"/>
      <c r="O55" s="39" t="e">
        <f ca="1">M55/I55</f>
        <v>#NAME?</v>
      </c>
      <c r="P55" s="7"/>
      <c r="Q55" s="7"/>
      <c r="R55" s="37">
        <f>+R57+R64+R68+R79+R84+R87+R100</f>
        <v>123950</v>
      </c>
      <c r="S55" s="37">
        <f>+S57+S64+S68+S79+S84+S87+S100</f>
        <v>0</v>
      </c>
      <c r="T55" s="37">
        <f>+T57+T64+T68+T79+T84+T87+T100</f>
        <v>123950</v>
      </c>
      <c r="U55" s="7"/>
      <c r="V55" s="74"/>
      <c r="W55" s="74"/>
      <c r="X55" s="74"/>
    </row>
    <row r="56" spans="1:24" ht="6" customHeight="1">
      <c r="A56" s="49"/>
      <c r="B56" s="49"/>
      <c r="C56" s="8"/>
      <c r="D56" s="7"/>
      <c r="E56" s="7"/>
      <c r="F56" s="7"/>
      <c r="G56" s="43"/>
      <c r="H56" s="43"/>
      <c r="I56" s="43"/>
      <c r="J56" s="7"/>
      <c r="K56" s="76"/>
      <c r="L56" s="76"/>
      <c r="M56" s="76"/>
      <c r="N56" s="75"/>
      <c r="O56" s="45"/>
      <c r="P56" s="7"/>
      <c r="Q56" s="7"/>
      <c r="R56" s="43"/>
      <c r="S56" s="43"/>
      <c r="T56" s="43"/>
      <c r="U56" s="7"/>
      <c r="V56" s="76"/>
      <c r="W56" s="76"/>
      <c r="X56" s="76"/>
    </row>
    <row r="57" spans="1:24" ht="11.25" customHeight="1">
      <c r="A57" s="49"/>
      <c r="B57" s="49"/>
      <c r="C57" s="22">
        <v>220</v>
      </c>
      <c r="D57" s="21"/>
      <c r="E57" s="50" t="s">
        <v>48</v>
      </c>
      <c r="F57" s="21"/>
      <c r="G57" s="51">
        <f>SUM(G58:G62)</f>
        <v>2500</v>
      </c>
      <c r="H57" s="51">
        <f t="shared" ref="H57" si="34">SUM(H58:H62)</f>
        <v>0</v>
      </c>
      <c r="I57" s="51">
        <f>SUM(I58:I62)</f>
        <v>2500</v>
      </c>
      <c r="J57" s="21"/>
      <c r="K57" s="82" t="e">
        <f t="shared" ref="K57:L57" ca="1" si="35">SUM(K58:K62)</f>
        <v>#NAME?</v>
      </c>
      <c r="L57" s="82">
        <f t="shared" si="35"/>
        <v>0</v>
      </c>
      <c r="M57" s="82" t="e">
        <f t="shared" ref="M57:M58" ca="1" si="36">K57+L57</f>
        <v>#NAME?</v>
      </c>
      <c r="N57" s="78"/>
      <c r="O57" s="53" t="e">
        <f t="shared" ref="O57:O58" ca="1" si="37">M57/I57</f>
        <v>#NAME?</v>
      </c>
      <c r="P57" s="21"/>
      <c r="Q57" s="21"/>
      <c r="R57" s="51">
        <f>SUM(R58:R62)</f>
        <v>2000</v>
      </c>
      <c r="S57" s="51">
        <f t="shared" ref="S57:T57" si="38">SUM(S58:S62)</f>
        <v>0</v>
      </c>
      <c r="T57" s="51">
        <f t="shared" si="38"/>
        <v>2000</v>
      </c>
      <c r="U57" s="21"/>
      <c r="V57" s="82"/>
      <c r="W57" s="82"/>
      <c r="X57" s="82"/>
    </row>
    <row r="58" spans="1:24" ht="11.25" customHeight="1">
      <c r="A58" s="49">
        <v>6290001</v>
      </c>
      <c r="B58" s="49"/>
      <c r="C58" s="22" t="s">
        <v>49</v>
      </c>
      <c r="D58" s="21"/>
      <c r="E58" s="21" t="s">
        <v>50</v>
      </c>
      <c r="F58" s="21"/>
      <c r="G58" s="58">
        <v>500</v>
      </c>
      <c r="H58" s="58">
        <v>0</v>
      </c>
      <c r="I58" s="58">
        <f>+G58+H58</f>
        <v>500</v>
      </c>
      <c r="J58" s="21"/>
      <c r="K58" s="77" t="e">
        <f ca="1">VALUE(Q58)</f>
        <v>#NAME?</v>
      </c>
      <c r="L58" s="77">
        <v>0</v>
      </c>
      <c r="M58" s="77" t="e">
        <f t="shared" ca="1" si="36"/>
        <v>#NAME?</v>
      </c>
      <c r="N58" s="78"/>
      <c r="O58" s="59" t="e">
        <f t="shared" ca="1" si="37"/>
        <v>#NAME?</v>
      </c>
      <c r="P58" s="21"/>
      <c r="Q58" s="21" t="e" cm="1">
        <f t="array" aca="1" ref="Q58" ca="1">[1]!CN(62900001,,0,0,$M$2)</f>
        <v>#NAME?</v>
      </c>
      <c r="R58" s="58">
        <v>500</v>
      </c>
      <c r="S58" s="58">
        <v>0</v>
      </c>
      <c r="T58" s="58">
        <v>500</v>
      </c>
      <c r="U58" s="21"/>
      <c r="V58" s="77"/>
      <c r="W58" s="77"/>
      <c r="X58" s="77"/>
    </row>
    <row r="59" spans="1:24" ht="11.25" customHeight="1">
      <c r="A59" s="49">
        <v>6290002</v>
      </c>
      <c r="B59" s="49"/>
      <c r="C59" s="22" t="s">
        <v>51</v>
      </c>
      <c r="D59" s="21"/>
      <c r="E59" s="21" t="s">
        <v>52</v>
      </c>
      <c r="F59" s="21"/>
      <c r="G59" s="58">
        <v>0</v>
      </c>
      <c r="H59" s="58">
        <v>0</v>
      </c>
      <c r="I59" s="58">
        <f t="shared" ref="I59:I62" si="39">+G59+H59</f>
        <v>0</v>
      </c>
      <c r="J59" s="21"/>
      <c r="K59" s="77">
        <v>0</v>
      </c>
      <c r="L59" s="77">
        <v>0</v>
      </c>
      <c r="M59" s="77">
        <v>0</v>
      </c>
      <c r="N59" s="78"/>
      <c r="O59" s="59">
        <v>0</v>
      </c>
      <c r="P59" s="21"/>
      <c r="Q59" s="21"/>
      <c r="R59" s="58">
        <v>0</v>
      </c>
      <c r="S59" s="58">
        <v>0</v>
      </c>
      <c r="T59" s="58">
        <v>0</v>
      </c>
      <c r="U59" s="21"/>
      <c r="V59" s="77"/>
      <c r="W59" s="77"/>
      <c r="X59" s="77"/>
    </row>
    <row r="60" spans="1:24" ht="12.75" customHeight="1">
      <c r="A60" s="49">
        <v>6290003</v>
      </c>
      <c r="B60" s="49"/>
      <c r="C60" s="22" t="s">
        <v>53</v>
      </c>
      <c r="D60" s="21"/>
      <c r="E60" s="21" t="s">
        <v>54</v>
      </c>
      <c r="F60" s="21"/>
      <c r="G60" s="58">
        <v>0</v>
      </c>
      <c r="H60" s="58">
        <v>0</v>
      </c>
      <c r="I60" s="58">
        <f t="shared" si="39"/>
        <v>0</v>
      </c>
      <c r="J60" s="21"/>
      <c r="K60" s="77">
        <v>0</v>
      </c>
      <c r="L60" s="77">
        <v>0</v>
      </c>
      <c r="M60" s="77">
        <v>0</v>
      </c>
      <c r="N60" s="78"/>
      <c r="O60" s="59">
        <v>0</v>
      </c>
      <c r="P60" s="21"/>
      <c r="Q60" s="21"/>
      <c r="R60" s="58">
        <v>0</v>
      </c>
      <c r="S60" s="58">
        <v>0</v>
      </c>
      <c r="T60" s="58">
        <v>0</v>
      </c>
      <c r="U60" s="21"/>
      <c r="V60" s="77"/>
      <c r="W60" s="77"/>
      <c r="X60" s="77"/>
    </row>
    <row r="61" spans="1:24" ht="11.25" customHeight="1">
      <c r="A61" s="49">
        <v>6290004</v>
      </c>
      <c r="B61" s="49"/>
      <c r="C61" s="22" t="s">
        <v>55</v>
      </c>
      <c r="D61" s="21"/>
      <c r="E61" s="21" t="s">
        <v>56</v>
      </c>
      <c r="F61" s="21"/>
      <c r="G61" s="58">
        <v>0</v>
      </c>
      <c r="H61" s="58">
        <v>0</v>
      </c>
      <c r="I61" s="58">
        <f t="shared" si="39"/>
        <v>0</v>
      </c>
      <c r="J61" s="21"/>
      <c r="K61" s="77">
        <v>0</v>
      </c>
      <c r="L61" s="77">
        <v>0</v>
      </c>
      <c r="M61" s="77">
        <v>0</v>
      </c>
      <c r="N61" s="78"/>
      <c r="O61" s="59">
        <v>0</v>
      </c>
      <c r="P61" s="21"/>
      <c r="Q61" s="21"/>
      <c r="R61" s="58">
        <v>0</v>
      </c>
      <c r="S61" s="58">
        <v>0</v>
      </c>
      <c r="T61" s="58">
        <v>0</v>
      </c>
      <c r="U61" s="21"/>
      <c r="V61" s="77"/>
      <c r="W61" s="77"/>
      <c r="X61" s="77"/>
    </row>
    <row r="62" spans="1:24" ht="11.25" customHeight="1">
      <c r="A62" s="49"/>
      <c r="B62" s="49"/>
      <c r="C62" s="22" t="s">
        <v>57</v>
      </c>
      <c r="D62" s="21"/>
      <c r="E62" s="21" t="s">
        <v>58</v>
      </c>
      <c r="F62" s="21"/>
      <c r="G62" s="58">
        <v>2000</v>
      </c>
      <c r="H62" s="58">
        <v>0</v>
      </c>
      <c r="I62" s="58">
        <f t="shared" si="39"/>
        <v>2000</v>
      </c>
      <c r="J62" s="21"/>
      <c r="K62" s="77" t="e">
        <f ca="1">VALUE(Q62)</f>
        <v>#NAME?</v>
      </c>
      <c r="L62" s="77">
        <v>0</v>
      </c>
      <c r="M62" s="77" t="e">
        <f ca="1">L62+K62</f>
        <v>#NAME?</v>
      </c>
      <c r="N62" s="78"/>
      <c r="O62" s="59" t="e">
        <f ca="1">M62/I62</f>
        <v>#NAME?</v>
      </c>
      <c r="P62" s="21"/>
      <c r="Q62" s="21" t="e" cm="1">
        <f t="array" aca="1" ref="Q62" ca="1">[1]!CN(62900024,,0,0,$M$2)</f>
        <v>#NAME?</v>
      </c>
      <c r="R62" s="58">
        <v>1500</v>
      </c>
      <c r="S62" s="58">
        <v>0</v>
      </c>
      <c r="T62" s="58">
        <v>1500</v>
      </c>
      <c r="U62" s="21"/>
      <c r="V62" s="77"/>
      <c r="W62" s="77"/>
      <c r="X62" s="77"/>
    </row>
    <row r="63" spans="1:24" ht="11.25" customHeight="1">
      <c r="A63" s="49"/>
      <c r="B63" s="49"/>
      <c r="C63" s="22"/>
      <c r="D63" s="21"/>
      <c r="E63" s="57"/>
      <c r="F63" s="21"/>
      <c r="G63" s="58"/>
      <c r="H63" s="58"/>
      <c r="I63" s="58"/>
      <c r="J63" s="21"/>
      <c r="K63" s="77"/>
      <c r="L63" s="77"/>
      <c r="M63" s="77"/>
      <c r="N63" s="78"/>
      <c r="O63" s="59"/>
      <c r="P63" s="21"/>
      <c r="Q63" s="21"/>
      <c r="R63" s="58"/>
      <c r="S63" s="58"/>
      <c r="T63" s="58"/>
      <c r="U63" s="21"/>
      <c r="V63" s="77"/>
      <c r="W63" s="77"/>
      <c r="X63" s="77"/>
    </row>
    <row r="64" spans="1:24" ht="11.25" customHeight="1">
      <c r="A64" s="49"/>
      <c r="B64" s="49"/>
      <c r="C64" s="22">
        <v>221</v>
      </c>
      <c r="D64" s="21"/>
      <c r="E64" s="50" t="s">
        <v>59</v>
      </c>
      <c r="F64" s="21"/>
      <c r="G64" s="51">
        <f>+G65+G66</f>
        <v>2150</v>
      </c>
      <c r="H64" s="51">
        <f t="shared" ref="H64:I64" si="40">+H65+H66</f>
        <v>0</v>
      </c>
      <c r="I64" s="51">
        <f t="shared" si="40"/>
        <v>2150</v>
      </c>
      <c r="J64" s="21"/>
      <c r="K64" s="82" t="e">
        <f t="shared" ref="K64:L64" ca="1" si="41">SUM(K65:K66)</f>
        <v>#NAME?</v>
      </c>
      <c r="L64" s="82">
        <f t="shared" si="41"/>
        <v>0</v>
      </c>
      <c r="M64" s="82" t="e">
        <f ca="1">L64+K64</f>
        <v>#NAME?</v>
      </c>
      <c r="N64" s="78"/>
      <c r="O64" s="53" t="e">
        <f t="shared" ref="O64:O66" ca="1" si="42">M64/I64</f>
        <v>#NAME?</v>
      </c>
      <c r="P64" s="21"/>
      <c r="Q64" s="21"/>
      <c r="R64" s="51">
        <v>2150</v>
      </c>
      <c r="S64" s="51">
        <v>0</v>
      </c>
      <c r="T64" s="51">
        <v>2150</v>
      </c>
      <c r="U64" s="21"/>
      <c r="V64" s="82"/>
      <c r="W64" s="82"/>
      <c r="X64" s="82"/>
    </row>
    <row r="65" spans="1:24" ht="11.25" customHeight="1">
      <c r="A65" s="49">
        <v>6280001</v>
      </c>
      <c r="B65" s="49"/>
      <c r="C65" s="22" t="s">
        <v>60</v>
      </c>
      <c r="D65" s="21"/>
      <c r="E65" s="21" t="s">
        <v>61</v>
      </c>
      <c r="F65" s="21"/>
      <c r="G65" s="58">
        <v>1800</v>
      </c>
      <c r="H65" s="58">
        <v>0</v>
      </c>
      <c r="I65" s="58">
        <f>+G65+H65</f>
        <v>1800</v>
      </c>
      <c r="J65" s="21"/>
      <c r="K65" s="77" t="e">
        <f ca="1">+Q65</f>
        <v>#NAME?</v>
      </c>
      <c r="L65" s="77">
        <v>0</v>
      </c>
      <c r="M65" s="77" t="e">
        <f t="shared" ref="M65:M66" ca="1" si="43">K65+L65</f>
        <v>#NAME?</v>
      </c>
      <c r="N65" s="78"/>
      <c r="O65" s="59" t="e">
        <f t="shared" ca="1" si="42"/>
        <v>#NAME?</v>
      </c>
      <c r="P65" s="21"/>
      <c r="Q65" s="21" t="e" cm="1">
        <f t="array" aca="1" ref="Q65" ca="1">[1]!CN(62800001,,0,0,$M$2)</f>
        <v>#NAME?</v>
      </c>
      <c r="R65" s="58">
        <v>1800</v>
      </c>
      <c r="S65" s="58">
        <v>0</v>
      </c>
      <c r="T65" s="58">
        <v>1800</v>
      </c>
      <c r="U65" s="21"/>
      <c r="V65" s="77"/>
      <c r="W65" s="77"/>
      <c r="X65" s="77"/>
    </row>
    <row r="66" spans="1:24" ht="11.25" customHeight="1">
      <c r="A66" s="49">
        <v>6280002</v>
      </c>
      <c r="B66" s="49"/>
      <c r="C66" s="22" t="s">
        <v>62</v>
      </c>
      <c r="D66" s="21"/>
      <c r="E66" s="21" t="s">
        <v>63</v>
      </c>
      <c r="F66" s="21"/>
      <c r="G66" s="58">
        <v>350</v>
      </c>
      <c r="H66" s="58">
        <v>0</v>
      </c>
      <c r="I66" s="58">
        <f>+G66+H66</f>
        <v>350</v>
      </c>
      <c r="J66" s="21"/>
      <c r="K66" s="77" t="e">
        <f ca="1">+Q66</f>
        <v>#NAME?</v>
      </c>
      <c r="L66" s="77">
        <v>0</v>
      </c>
      <c r="M66" s="77" t="e">
        <f t="shared" ca="1" si="43"/>
        <v>#NAME?</v>
      </c>
      <c r="N66" s="78"/>
      <c r="O66" s="59" t="e">
        <f t="shared" ca="1" si="42"/>
        <v>#NAME?</v>
      </c>
      <c r="P66" s="21"/>
      <c r="Q66" s="21" t="e" cm="1">
        <f t="array" aca="1" ref="Q66" ca="1">[1]!CN(62800002,,0,0,$M$2)</f>
        <v>#NAME?</v>
      </c>
      <c r="R66" s="58">
        <v>350</v>
      </c>
      <c r="S66" s="58">
        <v>0</v>
      </c>
      <c r="T66" s="58">
        <v>350</v>
      </c>
      <c r="U66" s="21"/>
      <c r="V66" s="77"/>
      <c r="W66" s="77"/>
      <c r="X66" s="77"/>
    </row>
    <row r="67" spans="1:24" ht="11.25" customHeight="1">
      <c r="A67" s="49"/>
      <c r="B67" s="49"/>
      <c r="C67" s="22"/>
      <c r="D67" s="21"/>
      <c r="E67" s="21"/>
      <c r="F67" s="21"/>
      <c r="G67" s="58"/>
      <c r="H67" s="58"/>
      <c r="I67" s="58"/>
      <c r="J67" s="21"/>
      <c r="K67" s="77"/>
      <c r="L67" s="77"/>
      <c r="M67" s="77"/>
      <c r="N67" s="78"/>
      <c r="O67" s="59"/>
      <c r="P67" s="21"/>
      <c r="Q67" s="21"/>
      <c r="R67" s="58"/>
      <c r="S67" s="58"/>
      <c r="T67" s="58"/>
      <c r="U67" s="21"/>
      <c r="V67" s="77"/>
      <c r="W67" s="77"/>
      <c r="X67" s="77"/>
    </row>
    <row r="68" spans="1:24" ht="11.25" customHeight="1">
      <c r="A68" s="49"/>
      <c r="B68" s="49"/>
      <c r="C68" s="22">
        <v>222</v>
      </c>
      <c r="D68" s="21"/>
      <c r="E68" s="50" t="s">
        <v>64</v>
      </c>
      <c r="F68" s="21"/>
      <c r="G68" s="51">
        <f>+G69+G70</f>
        <v>2600</v>
      </c>
      <c r="H68" s="51">
        <f t="shared" ref="H68:I68" si="44">+H69+H70</f>
        <v>0</v>
      </c>
      <c r="I68" s="51">
        <f t="shared" si="44"/>
        <v>2600</v>
      </c>
      <c r="J68" s="21"/>
      <c r="K68" s="82" t="e">
        <f t="shared" ref="K68:L68" ca="1" si="45">SUM(K69:K70)</f>
        <v>#NAME?</v>
      </c>
      <c r="L68" s="82">
        <f t="shared" si="45"/>
        <v>0</v>
      </c>
      <c r="M68" s="82" t="e">
        <f t="shared" ref="M68:M70" ca="1" si="46">L68+K68</f>
        <v>#NAME?</v>
      </c>
      <c r="N68" s="78"/>
      <c r="O68" s="53" t="e">
        <f t="shared" ref="O68:O70" ca="1" si="47">M68/I68</f>
        <v>#NAME?</v>
      </c>
      <c r="P68" s="21"/>
      <c r="Q68" s="21"/>
      <c r="R68" s="51">
        <f>+R69+R70</f>
        <v>2500</v>
      </c>
      <c r="S68" s="51">
        <v>0</v>
      </c>
      <c r="T68" s="51">
        <f>+T69+T70</f>
        <v>2500</v>
      </c>
      <c r="U68" s="21"/>
      <c r="V68" s="82"/>
      <c r="W68" s="82"/>
      <c r="X68" s="82"/>
    </row>
    <row r="69" spans="1:24" ht="11.25" customHeight="1">
      <c r="A69" s="49">
        <v>6290006</v>
      </c>
      <c r="B69" s="49"/>
      <c r="C69" s="22" t="s">
        <v>65</v>
      </c>
      <c r="D69" s="21"/>
      <c r="E69" s="21" t="s">
        <v>66</v>
      </c>
      <c r="F69" s="21"/>
      <c r="G69" s="58">
        <v>2200</v>
      </c>
      <c r="H69" s="58">
        <v>0</v>
      </c>
      <c r="I69" s="58">
        <f>+G69+H69</f>
        <v>2200</v>
      </c>
      <c r="J69" s="21"/>
      <c r="K69" s="77" t="e">
        <f ca="1">+Q69</f>
        <v>#NAME?</v>
      </c>
      <c r="L69" s="77">
        <v>0</v>
      </c>
      <c r="M69" s="77" t="e">
        <f t="shared" ca="1" si="46"/>
        <v>#NAME?</v>
      </c>
      <c r="N69" s="78"/>
      <c r="O69" s="59" t="e">
        <f t="shared" ca="1" si="47"/>
        <v>#NAME?</v>
      </c>
      <c r="P69" s="21"/>
      <c r="Q69" s="21" t="e" cm="1">
        <f t="array" aca="1" ref="Q69" ca="1">[1]!CN(62800003,,0,0,$M$2)</f>
        <v>#NAME?</v>
      </c>
      <c r="R69" s="58">
        <v>2200</v>
      </c>
      <c r="S69" s="58">
        <v>0</v>
      </c>
      <c r="T69" s="58">
        <v>2200</v>
      </c>
      <c r="U69" s="21"/>
      <c r="V69" s="77"/>
      <c r="W69" s="77"/>
      <c r="X69" s="77"/>
    </row>
    <row r="70" spans="1:24" ht="14.25" customHeight="1">
      <c r="A70" s="49">
        <v>6290007</v>
      </c>
      <c r="B70" s="49"/>
      <c r="C70" s="22" t="s">
        <v>67</v>
      </c>
      <c r="D70" s="21"/>
      <c r="E70" s="21" t="s">
        <v>68</v>
      </c>
      <c r="F70" s="21"/>
      <c r="G70" s="58">
        <v>400</v>
      </c>
      <c r="H70" s="58">
        <v>0</v>
      </c>
      <c r="I70" s="58">
        <f>+G70+H70</f>
        <v>400</v>
      </c>
      <c r="J70" s="21"/>
      <c r="K70" s="77" t="e">
        <f ca="1">+Q70</f>
        <v>#NAME?</v>
      </c>
      <c r="L70" s="77">
        <v>0</v>
      </c>
      <c r="M70" s="77" t="e">
        <f t="shared" ca="1" si="46"/>
        <v>#NAME?</v>
      </c>
      <c r="N70" s="78"/>
      <c r="O70" s="59" t="e">
        <f t="shared" ca="1" si="47"/>
        <v>#NAME?</v>
      </c>
      <c r="P70" s="21"/>
      <c r="Q70" s="21" t="e" cm="1">
        <f t="array" aca="1" ref="Q70" ca="1">[1]!CN(62900007,,0,0,$M$2)</f>
        <v>#NAME?</v>
      </c>
      <c r="R70" s="58">
        <v>300</v>
      </c>
      <c r="S70" s="58">
        <v>0</v>
      </c>
      <c r="T70" s="58">
        <f>+R70+S70</f>
        <v>300</v>
      </c>
      <c r="U70" s="21"/>
      <c r="V70" s="77"/>
      <c r="W70" s="77"/>
      <c r="X70" s="77"/>
    </row>
    <row r="71" spans="1:24" ht="9.75" customHeight="1">
      <c r="A71" s="49"/>
      <c r="B71" s="49"/>
      <c r="C71" s="22"/>
      <c r="D71" s="21"/>
      <c r="E71" s="21"/>
      <c r="F71" s="21"/>
      <c r="G71" s="23"/>
      <c r="H71" s="23"/>
      <c r="I71" s="23"/>
      <c r="J71" s="21"/>
      <c r="K71" s="23"/>
      <c r="L71" s="23"/>
      <c r="M71" s="23"/>
      <c r="N71" s="21"/>
      <c r="O71" s="24"/>
      <c r="P71" s="21"/>
      <c r="Q71" s="21"/>
      <c r="R71" s="23"/>
      <c r="S71" s="23"/>
      <c r="T71" s="23"/>
      <c r="U71" s="21"/>
      <c r="V71" s="23"/>
      <c r="W71" s="23"/>
      <c r="X71" s="23"/>
    </row>
    <row r="72" spans="1:24" ht="12.75" customHeight="1">
      <c r="A72" s="49"/>
      <c r="B72" s="49"/>
      <c r="C72" s="22"/>
      <c r="D72" s="21"/>
      <c r="E72" s="21"/>
      <c r="F72" s="21"/>
      <c r="G72" s="375" t="s">
        <v>0</v>
      </c>
      <c r="H72" s="375"/>
      <c r="I72" s="375"/>
      <c r="J72" s="375"/>
      <c r="K72" s="375"/>
      <c r="L72" s="23"/>
      <c r="M72" s="23"/>
      <c r="N72" s="21"/>
      <c r="O72" s="24"/>
      <c r="P72" s="21"/>
      <c r="Q72" s="21"/>
      <c r="R72" s="375"/>
      <c r="S72" s="375"/>
      <c r="T72" s="375"/>
      <c r="U72" s="375"/>
      <c r="V72" s="375"/>
      <c r="W72" s="23"/>
      <c r="X72" s="23"/>
    </row>
    <row r="73" spans="1:24" ht="7.5" customHeight="1">
      <c r="A73" s="49"/>
      <c r="B73" s="49"/>
      <c r="C73" s="22"/>
      <c r="D73" s="21"/>
      <c r="E73" s="21"/>
      <c r="F73" s="21"/>
      <c r="G73" s="23"/>
      <c r="H73" s="23"/>
      <c r="I73" s="23"/>
      <c r="J73" s="21"/>
      <c r="K73" s="23"/>
      <c r="L73" s="23"/>
      <c r="M73" s="23"/>
      <c r="N73" s="21"/>
      <c r="O73" s="24"/>
      <c r="P73" s="21"/>
      <c r="Q73" s="21"/>
      <c r="R73" s="23"/>
      <c r="S73" s="23"/>
      <c r="T73" s="23"/>
      <c r="U73" s="21"/>
      <c r="V73" s="23"/>
      <c r="W73" s="23"/>
      <c r="X73" s="23"/>
    </row>
    <row r="74" spans="1:24" ht="3.75" customHeight="1" thickBot="1">
      <c r="A74" s="49"/>
      <c r="B74" s="49"/>
      <c r="C74" s="22"/>
      <c r="D74" s="21"/>
      <c r="E74" s="21"/>
      <c r="F74" s="21"/>
      <c r="G74" s="23"/>
      <c r="H74" s="23"/>
      <c r="I74" s="23"/>
      <c r="J74" s="21"/>
      <c r="K74" s="23"/>
      <c r="L74" s="23"/>
      <c r="M74" s="23"/>
      <c r="N74" s="21"/>
      <c r="O74" s="24"/>
      <c r="P74" s="21"/>
      <c r="Q74" s="21"/>
      <c r="R74" s="23"/>
      <c r="S74" s="23"/>
      <c r="T74" s="23"/>
      <c r="U74" s="21"/>
      <c r="V74" s="23"/>
      <c r="W74" s="23"/>
      <c r="X74" s="23"/>
    </row>
    <row r="75" spans="1:24" ht="12.75" customHeight="1">
      <c r="A75" s="396" t="s">
        <v>1</v>
      </c>
      <c r="B75" s="10"/>
      <c r="C75" s="398" t="s">
        <v>2</v>
      </c>
      <c r="D75" s="11"/>
      <c r="E75" s="401" t="s">
        <v>69</v>
      </c>
      <c r="F75" s="11"/>
      <c r="G75" s="376" t="s">
        <v>454</v>
      </c>
      <c r="H75" s="377"/>
      <c r="I75" s="378"/>
      <c r="J75" s="11"/>
      <c r="K75" s="400" t="s">
        <v>444</v>
      </c>
      <c r="L75" s="377"/>
      <c r="M75" s="378"/>
      <c r="N75" s="11"/>
      <c r="O75" s="12" t="s">
        <v>5</v>
      </c>
      <c r="P75" s="11"/>
      <c r="Q75" s="14"/>
      <c r="R75" s="376" t="s">
        <v>445</v>
      </c>
      <c r="S75" s="377"/>
      <c r="T75" s="378"/>
      <c r="U75" s="11"/>
      <c r="V75" s="382"/>
      <c r="W75" s="383"/>
      <c r="X75" s="383"/>
    </row>
    <row r="76" spans="1:24" ht="24.75" customHeight="1" thickBot="1">
      <c r="A76" s="397"/>
      <c r="B76" s="10"/>
      <c r="C76" s="399"/>
      <c r="D76" s="14"/>
      <c r="E76" s="402"/>
      <c r="F76" s="14"/>
      <c r="G76" s="379"/>
      <c r="H76" s="380"/>
      <c r="I76" s="381"/>
      <c r="J76" s="14"/>
      <c r="K76" s="379"/>
      <c r="L76" s="380"/>
      <c r="M76" s="381"/>
      <c r="N76" s="14"/>
      <c r="O76" s="16" t="s">
        <v>443</v>
      </c>
      <c r="P76" s="14"/>
      <c r="Q76" s="14"/>
      <c r="R76" s="379"/>
      <c r="S76" s="380"/>
      <c r="T76" s="381"/>
      <c r="U76" s="14"/>
      <c r="V76" s="383"/>
      <c r="W76" s="383"/>
      <c r="X76" s="383"/>
    </row>
    <row r="77" spans="1:24" ht="13.5" customHeight="1">
      <c r="A77" s="21"/>
      <c r="B77" s="21"/>
      <c r="C77" s="22"/>
      <c r="D77" s="21"/>
      <c r="E77" s="21"/>
      <c r="F77" s="21"/>
      <c r="G77" s="23" t="s">
        <v>6</v>
      </c>
      <c r="H77" s="23" t="s">
        <v>7</v>
      </c>
      <c r="I77" s="23" t="s">
        <v>8</v>
      </c>
      <c r="J77" s="21"/>
      <c r="K77" s="23" t="s">
        <v>6</v>
      </c>
      <c r="L77" s="23" t="s">
        <v>7</v>
      </c>
      <c r="M77" s="23" t="s">
        <v>8</v>
      </c>
      <c r="N77" s="21"/>
      <c r="O77" s="24"/>
      <c r="P77" s="21"/>
      <c r="Q77" s="21"/>
      <c r="R77" s="23" t="s">
        <v>6</v>
      </c>
      <c r="S77" s="23" t="s">
        <v>7</v>
      </c>
      <c r="T77" s="23" t="s">
        <v>8</v>
      </c>
      <c r="U77" s="21"/>
      <c r="V77" s="23"/>
      <c r="W77" s="23"/>
      <c r="X77" s="23"/>
    </row>
    <row r="78" spans="1:24" ht="4.5" customHeight="1">
      <c r="A78" s="21"/>
      <c r="B78" s="21"/>
      <c r="C78" s="22"/>
      <c r="D78" s="21"/>
      <c r="E78" s="21"/>
      <c r="F78" s="21"/>
      <c r="G78" s="23"/>
      <c r="H78" s="23"/>
      <c r="I78" s="23"/>
      <c r="J78" s="21"/>
      <c r="K78" s="23"/>
      <c r="L78" s="23"/>
      <c r="M78" s="23"/>
      <c r="N78" s="21"/>
      <c r="O78" s="24"/>
      <c r="P78" s="21"/>
      <c r="Q78" s="21"/>
      <c r="R78" s="23"/>
      <c r="S78" s="23"/>
      <c r="T78" s="23"/>
      <c r="U78" s="21"/>
      <c r="V78" s="23"/>
      <c r="W78" s="23"/>
      <c r="X78" s="23"/>
    </row>
    <row r="79" spans="1:24" ht="11.25" customHeight="1">
      <c r="A79" s="49"/>
      <c r="B79" s="49"/>
      <c r="C79" s="22">
        <v>224</v>
      </c>
      <c r="D79" s="21"/>
      <c r="E79" s="50" t="s">
        <v>70</v>
      </c>
      <c r="F79" s="21"/>
      <c r="G79" s="51">
        <f>+G80+G81+G82</f>
        <v>1320</v>
      </c>
      <c r="H79" s="51">
        <v>0</v>
      </c>
      <c r="I79" s="51">
        <f>+I80+I81+I82</f>
        <v>1320</v>
      </c>
      <c r="J79" s="21"/>
      <c r="K79" s="52" t="e">
        <f ca="1">SUM(K80:K81)</f>
        <v>#NAME?</v>
      </c>
      <c r="L79" s="52">
        <f>SUM(L80:L81)</f>
        <v>0</v>
      </c>
      <c r="M79" s="52" t="e">
        <f ca="1">SUM(M80:M81)</f>
        <v>#NAME?</v>
      </c>
      <c r="N79" s="21"/>
      <c r="O79" s="53" t="e">
        <f t="shared" ref="O79" ca="1" si="48">M79/I79</f>
        <v>#NAME?</v>
      </c>
      <c r="P79" s="21"/>
      <c r="Q79" s="21"/>
      <c r="R79" s="51">
        <f>SUM(R80:R82)</f>
        <v>1200</v>
      </c>
      <c r="S79" s="51">
        <f t="shared" ref="S79:T79" si="49">SUM(S80:S82)</f>
        <v>0</v>
      </c>
      <c r="T79" s="51">
        <f t="shared" si="49"/>
        <v>1200</v>
      </c>
      <c r="U79" s="21"/>
      <c r="V79" s="52"/>
      <c r="W79" s="52"/>
      <c r="X79" s="52"/>
    </row>
    <row r="80" spans="1:24" ht="11.25" customHeight="1">
      <c r="A80" s="49">
        <v>6250002</v>
      </c>
      <c r="B80" s="49"/>
      <c r="C80" s="22" t="s">
        <v>71</v>
      </c>
      <c r="D80" s="21"/>
      <c r="E80" s="21" t="s">
        <v>72</v>
      </c>
      <c r="F80" s="21"/>
      <c r="G80" s="58">
        <v>600</v>
      </c>
      <c r="H80" s="58">
        <v>0</v>
      </c>
      <c r="I80" s="58">
        <f>+G80+H80</f>
        <v>600</v>
      </c>
      <c r="J80" s="21"/>
      <c r="K80" s="77" t="e">
        <f ca="1">+Q80</f>
        <v>#NAME?</v>
      </c>
      <c r="L80" s="23">
        <v>0</v>
      </c>
      <c r="M80" s="23" t="e">
        <f t="shared" ref="M80:M81" ca="1" si="50">L80+K80</f>
        <v>#NAME?</v>
      </c>
      <c r="N80" s="21"/>
      <c r="O80" s="59" t="e">
        <f ca="1">+M80/I80</f>
        <v>#NAME?</v>
      </c>
      <c r="P80" s="21"/>
      <c r="Q80" s="21" t="e" cm="1">
        <f t="array" aca="1" ref="Q80" ca="1">[1]!CN(62500000,,0,0,$M$2)</f>
        <v>#NAME?</v>
      </c>
      <c r="R80" s="58">
        <v>500</v>
      </c>
      <c r="S80" s="58">
        <v>0</v>
      </c>
      <c r="T80" s="58">
        <v>500</v>
      </c>
      <c r="U80" s="21"/>
      <c r="V80" s="77"/>
      <c r="W80" s="23"/>
      <c r="X80" s="23"/>
    </row>
    <row r="81" spans="1:24" ht="11.25" customHeight="1">
      <c r="A81" s="49">
        <v>6250001</v>
      </c>
      <c r="B81" s="49"/>
      <c r="C81" s="22" t="s">
        <v>73</v>
      </c>
      <c r="D81" s="21"/>
      <c r="E81" s="21" t="s">
        <v>74</v>
      </c>
      <c r="F81" s="21"/>
      <c r="G81" s="58">
        <v>220</v>
      </c>
      <c r="H81" s="58">
        <v>0</v>
      </c>
      <c r="I81" s="58">
        <f t="shared" ref="I81:I82" si="51">+G81+H81</f>
        <v>220</v>
      </c>
      <c r="J81" s="21"/>
      <c r="K81" s="77" t="e">
        <f ca="1">+Q81</f>
        <v>#NAME?</v>
      </c>
      <c r="L81" s="23">
        <v>0</v>
      </c>
      <c r="M81" s="23" t="e">
        <f t="shared" ca="1" si="50"/>
        <v>#NAME?</v>
      </c>
      <c r="N81" s="21"/>
      <c r="O81" s="59" t="e">
        <f t="shared" ref="O81" ca="1" si="52">+M81/I81</f>
        <v>#NAME?</v>
      </c>
      <c r="P81" s="21"/>
      <c r="Q81" s="21" t="e" cm="1">
        <f t="array" aca="1" ref="Q81" ca="1">[1]!CN(62500001,,0,0,$M$2)</f>
        <v>#NAME?</v>
      </c>
      <c r="R81" s="58">
        <v>200</v>
      </c>
      <c r="S81" s="58">
        <v>0</v>
      </c>
      <c r="T81" s="58">
        <v>200</v>
      </c>
      <c r="U81" s="21"/>
      <c r="V81" s="77"/>
      <c r="W81" s="23"/>
      <c r="X81" s="23"/>
    </row>
    <row r="82" spans="1:24" ht="11.25" customHeight="1">
      <c r="A82" s="49"/>
      <c r="B82" s="49"/>
      <c r="C82" s="22" t="s">
        <v>446</v>
      </c>
      <c r="D82" s="21"/>
      <c r="E82" s="21" t="s">
        <v>449</v>
      </c>
      <c r="F82" s="21"/>
      <c r="G82" s="58">
        <v>500</v>
      </c>
      <c r="H82" s="58">
        <v>0</v>
      </c>
      <c r="I82" s="58">
        <f t="shared" si="51"/>
        <v>500</v>
      </c>
      <c r="J82" s="21"/>
      <c r="K82" s="23"/>
      <c r="L82" s="23"/>
      <c r="M82" s="23"/>
      <c r="N82" s="21"/>
      <c r="O82" s="59"/>
      <c r="P82" s="21"/>
      <c r="Q82" s="21"/>
      <c r="R82" s="58">
        <v>500</v>
      </c>
      <c r="S82" s="58">
        <v>0</v>
      </c>
      <c r="T82" s="58">
        <v>500</v>
      </c>
      <c r="U82" s="21"/>
      <c r="V82" s="23"/>
      <c r="W82" s="23"/>
      <c r="X82" s="23"/>
    </row>
    <row r="83" spans="1:24" ht="11.25" customHeight="1">
      <c r="A83" s="49"/>
      <c r="B83" s="49"/>
      <c r="C83" s="22"/>
      <c r="D83" s="21"/>
      <c r="E83" s="21"/>
      <c r="F83" s="21"/>
      <c r="G83" s="331"/>
      <c r="H83" s="308"/>
      <c r="I83" s="331"/>
      <c r="J83" s="21"/>
      <c r="K83" s="23"/>
      <c r="L83" s="23"/>
      <c r="M83" s="23"/>
      <c r="N83" s="21"/>
      <c r="O83" s="368"/>
      <c r="P83" s="21"/>
      <c r="Q83" s="21"/>
      <c r="R83" s="308"/>
      <c r="S83" s="308"/>
      <c r="T83" s="308"/>
      <c r="U83" s="21"/>
      <c r="V83" s="23"/>
      <c r="W83" s="23"/>
      <c r="X83" s="23"/>
    </row>
    <row r="84" spans="1:24" ht="11.25" customHeight="1">
      <c r="A84" s="49"/>
      <c r="B84" s="49"/>
      <c r="C84" s="22">
        <v>225</v>
      </c>
      <c r="D84" s="21"/>
      <c r="E84" s="50" t="s">
        <v>75</v>
      </c>
      <c r="F84" s="21"/>
      <c r="G84" s="51">
        <f>+G85</f>
        <v>1800</v>
      </c>
      <c r="H84" s="51">
        <v>0</v>
      </c>
      <c r="I84" s="51">
        <f>+I85</f>
        <v>1800</v>
      </c>
      <c r="J84" s="21"/>
      <c r="K84" s="52" t="e">
        <f t="shared" ref="K84:L84" ca="1" si="53">SUM(K85)</f>
        <v>#NAME?</v>
      </c>
      <c r="L84" s="52">
        <f t="shared" si="53"/>
        <v>0</v>
      </c>
      <c r="M84" s="52" t="e">
        <f ca="1">K84+L84</f>
        <v>#NAME?</v>
      </c>
      <c r="N84" s="21"/>
      <c r="O84" s="53" t="e">
        <f t="shared" ref="O84:O85" ca="1" si="54">M84/I84</f>
        <v>#NAME?</v>
      </c>
      <c r="P84" s="21"/>
      <c r="Q84" s="21"/>
      <c r="R84" s="51">
        <v>1800</v>
      </c>
      <c r="S84" s="51">
        <v>0</v>
      </c>
      <c r="T84" s="51">
        <v>1800</v>
      </c>
      <c r="U84" s="21"/>
      <c r="V84" s="52"/>
      <c r="W84" s="52"/>
      <c r="X84" s="52"/>
    </row>
    <row r="85" spans="1:24" ht="11.25" customHeight="1">
      <c r="A85" s="49">
        <v>6310001</v>
      </c>
      <c r="B85" s="49"/>
      <c r="C85" s="22" t="s">
        <v>76</v>
      </c>
      <c r="D85" s="21"/>
      <c r="E85" s="21" t="s">
        <v>77</v>
      </c>
      <c r="F85" s="21"/>
      <c r="G85" s="58">
        <v>1800</v>
      </c>
      <c r="H85" s="58">
        <v>0</v>
      </c>
      <c r="I85" s="58">
        <f>+G85+H85</f>
        <v>1800</v>
      </c>
      <c r="J85" s="21"/>
      <c r="K85" s="77" t="e">
        <f ca="1">+Q85</f>
        <v>#NAME?</v>
      </c>
      <c r="L85" s="23">
        <v>0</v>
      </c>
      <c r="M85" s="23" t="e">
        <f ca="1">+K85+L85</f>
        <v>#NAME?</v>
      </c>
      <c r="N85" s="21"/>
      <c r="O85" s="53" t="e">
        <f t="shared" ca="1" si="54"/>
        <v>#NAME?</v>
      </c>
      <c r="P85" s="21"/>
      <c r="Q85" s="21" t="e" cm="1">
        <f t="array" aca="1" ref="Q85" ca="1">[1]!CN(63100001,,0,0,$M$2)</f>
        <v>#NAME?</v>
      </c>
      <c r="R85" s="58">
        <v>1800</v>
      </c>
      <c r="S85" s="58">
        <v>0</v>
      </c>
      <c r="T85" s="58">
        <v>1800</v>
      </c>
      <c r="U85" s="21"/>
      <c r="V85" s="77"/>
      <c r="W85" s="23"/>
      <c r="X85" s="23"/>
    </row>
    <row r="86" spans="1:24" ht="11.25" customHeight="1">
      <c r="A86" s="49"/>
      <c r="B86" s="49"/>
      <c r="C86" s="22"/>
      <c r="D86" s="21"/>
      <c r="E86" s="21"/>
      <c r="F86" s="21"/>
      <c r="G86" s="58"/>
      <c r="H86" s="58"/>
      <c r="I86" s="58"/>
      <c r="J86" s="21"/>
      <c r="K86" s="23"/>
      <c r="L86" s="23"/>
      <c r="M86" s="23"/>
      <c r="N86" s="21"/>
      <c r="O86" s="59"/>
      <c r="P86" s="21"/>
      <c r="Q86" s="21"/>
      <c r="R86" s="58"/>
      <c r="S86" s="58"/>
      <c r="T86" s="58"/>
      <c r="U86" s="21"/>
      <c r="V86" s="23"/>
      <c r="W86" s="23"/>
      <c r="X86" s="23"/>
    </row>
    <row r="87" spans="1:24" ht="11.25" customHeight="1">
      <c r="A87" s="49"/>
      <c r="B87" s="49"/>
      <c r="C87" s="22">
        <v>226</v>
      </c>
      <c r="D87" s="21"/>
      <c r="E87" s="50" t="s">
        <v>78</v>
      </c>
      <c r="F87" s="21"/>
      <c r="G87" s="51">
        <f>SUM(G88:G98)</f>
        <v>35700</v>
      </c>
      <c r="H87" s="51">
        <f>SUM(H88:H98)</f>
        <v>0</v>
      </c>
      <c r="I87" s="51">
        <f>SUM(I88:I98)</f>
        <v>35700</v>
      </c>
      <c r="J87" s="21"/>
      <c r="K87" s="52" t="e">
        <f ca="1">SUM(K88:K98)</f>
        <v>#NAME?</v>
      </c>
      <c r="L87" s="52">
        <f>SUM(L88:L98)</f>
        <v>0</v>
      </c>
      <c r="M87" s="52" t="e">
        <f ca="1">SUM(M88:M98)</f>
        <v>#NAME?</v>
      </c>
      <c r="N87" s="21"/>
      <c r="O87" s="53" t="e">
        <f t="shared" ref="O87:O88" ca="1" si="55">M87/I87</f>
        <v>#NAME?</v>
      </c>
      <c r="P87" s="21"/>
      <c r="Q87" s="21"/>
      <c r="R87" s="51">
        <f>SUM(R88:R98)</f>
        <v>49400</v>
      </c>
      <c r="S87" s="51">
        <f>SUM(S88:S98)</f>
        <v>0</v>
      </c>
      <c r="T87" s="51">
        <f>SUM(T88:T98)</f>
        <v>49400</v>
      </c>
      <c r="U87" s="21"/>
      <c r="V87" s="52"/>
      <c r="W87" s="52"/>
      <c r="X87" s="52"/>
    </row>
    <row r="88" spans="1:24" ht="11.25" customHeight="1">
      <c r="A88" s="49">
        <v>6260001</v>
      </c>
      <c r="B88" s="49"/>
      <c r="C88" s="22" t="s">
        <v>79</v>
      </c>
      <c r="D88" s="21"/>
      <c r="E88" s="21" t="s">
        <v>80</v>
      </c>
      <c r="F88" s="21"/>
      <c r="G88" s="58">
        <v>400</v>
      </c>
      <c r="H88" s="58">
        <v>0</v>
      </c>
      <c r="I88" s="58">
        <f>+G88+H88</f>
        <v>400</v>
      </c>
      <c r="J88" s="21"/>
      <c r="K88" s="77" t="e">
        <f ca="1">+Q88</f>
        <v>#NAME?</v>
      </c>
      <c r="L88" s="23">
        <v>0</v>
      </c>
      <c r="M88" s="23" t="e">
        <f t="shared" ref="M88:M94" ca="1" si="56">L88+K88</f>
        <v>#NAME?</v>
      </c>
      <c r="N88" s="21"/>
      <c r="O88" s="59" t="e">
        <f t="shared" ca="1" si="55"/>
        <v>#NAME?</v>
      </c>
      <c r="P88" s="21"/>
      <c r="Q88" s="21" t="e" cm="1">
        <f t="array" aca="1" ref="Q88" ca="1">[1]!CN(62600001,,0,0,$M$2)</f>
        <v>#NAME?</v>
      </c>
      <c r="R88" s="58">
        <v>400</v>
      </c>
      <c r="S88" s="58">
        <v>0</v>
      </c>
      <c r="T88" s="58">
        <f>+R88+S88</f>
        <v>400</v>
      </c>
      <c r="U88" s="21"/>
      <c r="V88" s="77"/>
      <c r="W88" s="23"/>
      <c r="X88" s="23"/>
    </row>
    <row r="89" spans="1:24" ht="12" customHeight="1">
      <c r="A89" s="49">
        <v>6270001</v>
      </c>
      <c r="B89" s="49"/>
      <c r="C89" s="22" t="s">
        <v>81</v>
      </c>
      <c r="D89" s="21"/>
      <c r="E89" s="21" t="s">
        <v>82</v>
      </c>
      <c r="F89" s="21"/>
      <c r="G89" s="58">
        <v>0</v>
      </c>
      <c r="H89" s="58">
        <v>0</v>
      </c>
      <c r="I89" s="58">
        <f t="shared" ref="I89:I98" si="57">+G89+H89</f>
        <v>0</v>
      </c>
      <c r="J89" s="21"/>
      <c r="K89" s="23">
        <v>0</v>
      </c>
      <c r="L89" s="23">
        <v>0</v>
      </c>
      <c r="M89" s="23">
        <f t="shared" si="56"/>
        <v>0</v>
      </c>
      <c r="N89" s="21"/>
      <c r="O89" s="59">
        <v>0</v>
      </c>
      <c r="P89" s="21"/>
      <c r="Q89" s="21"/>
      <c r="R89" s="58">
        <v>0</v>
      </c>
      <c r="S89" s="58">
        <v>0</v>
      </c>
      <c r="T89" s="58">
        <f t="shared" ref="T89:T98" si="58">+R89+S89</f>
        <v>0</v>
      </c>
      <c r="U89" s="21"/>
      <c r="V89" s="23"/>
      <c r="W89" s="23"/>
      <c r="X89" s="23"/>
    </row>
    <row r="90" spans="1:24" ht="11.25" customHeight="1">
      <c r="A90" s="49">
        <v>6270002</v>
      </c>
      <c r="B90" s="49"/>
      <c r="C90" s="22" t="s">
        <v>83</v>
      </c>
      <c r="D90" s="21"/>
      <c r="E90" s="21" t="s">
        <v>84</v>
      </c>
      <c r="F90" s="21"/>
      <c r="G90" s="58">
        <v>300</v>
      </c>
      <c r="H90" s="58">
        <v>0</v>
      </c>
      <c r="I90" s="58">
        <f t="shared" si="57"/>
        <v>300</v>
      </c>
      <c r="J90" s="21"/>
      <c r="K90" s="77" t="e">
        <f ca="1">+Q90</f>
        <v>#NAME?</v>
      </c>
      <c r="L90" s="23">
        <v>0</v>
      </c>
      <c r="M90" s="23" t="e">
        <f t="shared" ca="1" si="56"/>
        <v>#NAME?</v>
      </c>
      <c r="N90" s="21"/>
      <c r="O90" s="59" t="e">
        <f t="shared" ref="O90:O98" ca="1" si="59">M90/I90</f>
        <v>#NAME?</v>
      </c>
      <c r="P90" s="21"/>
      <c r="Q90" s="21" t="e" cm="1">
        <f t="array" aca="1" ref="Q90" ca="1">[1]!CN(62700004,,0,0,$M$2)</f>
        <v>#NAME?</v>
      </c>
      <c r="R90" s="58">
        <v>500</v>
      </c>
      <c r="S90" s="58">
        <v>0</v>
      </c>
      <c r="T90" s="58">
        <f t="shared" si="58"/>
        <v>500</v>
      </c>
      <c r="U90" s="21"/>
      <c r="V90" s="77"/>
      <c r="W90" s="23"/>
      <c r="X90" s="23"/>
    </row>
    <row r="91" spans="1:24" ht="11.25" customHeight="1">
      <c r="A91" s="49">
        <v>6290007</v>
      </c>
      <c r="B91" s="49"/>
      <c r="C91" s="22" t="s">
        <v>85</v>
      </c>
      <c r="D91" s="21"/>
      <c r="E91" s="21" t="s">
        <v>86</v>
      </c>
      <c r="F91" s="21"/>
      <c r="G91" s="58">
        <v>300</v>
      </c>
      <c r="H91" s="58">
        <v>0</v>
      </c>
      <c r="I91" s="58">
        <f t="shared" si="57"/>
        <v>300</v>
      </c>
      <c r="J91" s="21"/>
      <c r="K91" s="77" t="e">
        <f ca="1">+Q91</f>
        <v>#NAME?</v>
      </c>
      <c r="L91" s="23">
        <v>0</v>
      </c>
      <c r="M91" s="23" t="e">
        <f t="shared" ca="1" si="56"/>
        <v>#NAME?</v>
      </c>
      <c r="N91" s="21"/>
      <c r="O91" s="59" t="e">
        <f t="shared" ca="1" si="59"/>
        <v>#NAME?</v>
      </c>
      <c r="P91" s="21"/>
      <c r="Q91" s="21" t="e" cm="1">
        <f t="array" aca="1" ref="Q91" ca="1">[1]!CN(62900025,,0,0,$M$2)</f>
        <v>#NAME?</v>
      </c>
      <c r="R91" s="58">
        <v>300</v>
      </c>
      <c r="S91" s="58">
        <v>0</v>
      </c>
      <c r="T91" s="58">
        <f t="shared" si="58"/>
        <v>300</v>
      </c>
      <c r="U91" s="21"/>
      <c r="V91" s="77"/>
      <c r="W91" s="23"/>
      <c r="X91" s="23"/>
    </row>
    <row r="92" spans="1:24" ht="11.25" customHeight="1">
      <c r="A92" s="49">
        <v>6290008</v>
      </c>
      <c r="B92" s="49">
        <v>1500</v>
      </c>
      <c r="C92" s="22" t="s">
        <v>87</v>
      </c>
      <c r="D92" s="21"/>
      <c r="E92" s="21" t="s">
        <v>88</v>
      </c>
      <c r="F92" s="21"/>
      <c r="G92" s="58">
        <v>3000</v>
      </c>
      <c r="H92" s="58">
        <v>0</v>
      </c>
      <c r="I92" s="58">
        <f t="shared" si="57"/>
        <v>3000</v>
      </c>
      <c r="J92" s="21"/>
      <c r="K92" s="23" t="e">
        <f ca="1">+Q92</f>
        <v>#NAME?</v>
      </c>
      <c r="L92" s="23">
        <v>0</v>
      </c>
      <c r="M92" s="23" t="e">
        <f t="shared" ca="1" si="56"/>
        <v>#NAME?</v>
      </c>
      <c r="N92" s="21"/>
      <c r="O92" s="59" t="e">
        <f t="shared" ca="1" si="59"/>
        <v>#NAME?</v>
      </c>
      <c r="P92" s="21"/>
      <c r="Q92" s="21" t="e" cm="1">
        <f t="array" aca="1" ref="Q92" ca="1">[1]!CN(62900008,,0,1,$M$2)+[1]!CN(62900029,,0,1,$M$2)</f>
        <v>#NAME?</v>
      </c>
      <c r="R92" s="58">
        <v>3000</v>
      </c>
      <c r="S92" s="58">
        <v>0</v>
      </c>
      <c r="T92" s="58">
        <f t="shared" si="58"/>
        <v>3000</v>
      </c>
      <c r="U92" s="21"/>
      <c r="V92" s="23"/>
      <c r="W92" s="23"/>
      <c r="X92" s="23"/>
    </row>
    <row r="93" spans="1:24" ht="11.25" customHeight="1">
      <c r="A93" s="49">
        <v>6290009</v>
      </c>
      <c r="B93" s="49"/>
      <c r="C93" s="22" t="s">
        <v>89</v>
      </c>
      <c r="D93" s="21"/>
      <c r="E93" s="222" t="s">
        <v>400</v>
      </c>
      <c r="F93" s="21"/>
      <c r="G93" s="58">
        <v>10000</v>
      </c>
      <c r="H93" s="58">
        <v>0</v>
      </c>
      <c r="I93" s="58">
        <f t="shared" si="57"/>
        <v>10000</v>
      </c>
      <c r="J93" s="21"/>
      <c r="K93" s="77" t="e">
        <f ca="1">+Q93</f>
        <v>#NAME?</v>
      </c>
      <c r="L93" s="23">
        <v>0</v>
      </c>
      <c r="M93" s="23" t="e">
        <f t="shared" ca="1" si="56"/>
        <v>#NAME?</v>
      </c>
      <c r="N93" s="21"/>
      <c r="O93" s="59" t="e">
        <f t="shared" ca="1" si="59"/>
        <v>#NAME?</v>
      </c>
      <c r="P93" s="21"/>
      <c r="Q93" s="21" t="e" cm="1">
        <f t="array" aca="1" ref="Q93" ca="1">[1]!CN(62900009,,0,0,$M$2)</f>
        <v>#NAME?</v>
      </c>
      <c r="R93" s="58">
        <v>25000</v>
      </c>
      <c r="S93" s="58">
        <v>0</v>
      </c>
      <c r="T93" s="58">
        <f t="shared" si="58"/>
        <v>25000</v>
      </c>
      <c r="U93" s="21"/>
      <c r="V93" s="77"/>
      <c r="W93" s="23"/>
      <c r="X93" s="23"/>
    </row>
    <row r="94" spans="1:24" ht="11.25" customHeight="1">
      <c r="A94" s="49">
        <v>6290010</v>
      </c>
      <c r="B94" s="49"/>
      <c r="C94" s="22" t="s">
        <v>91</v>
      </c>
      <c r="D94" s="21"/>
      <c r="E94" s="21" t="s">
        <v>259</v>
      </c>
      <c r="F94" s="21"/>
      <c r="G94" s="58">
        <v>0</v>
      </c>
      <c r="H94" s="58">
        <v>0</v>
      </c>
      <c r="I94" s="58">
        <f t="shared" si="57"/>
        <v>0</v>
      </c>
      <c r="J94" s="21"/>
      <c r="K94" s="23">
        <v>0</v>
      </c>
      <c r="L94" s="23">
        <v>0</v>
      </c>
      <c r="M94" s="23">
        <f t="shared" si="56"/>
        <v>0</v>
      </c>
      <c r="N94" s="21"/>
      <c r="O94" s="59">
        <v>0</v>
      </c>
      <c r="P94" s="21"/>
      <c r="Q94" s="21"/>
      <c r="R94" s="58">
        <v>0</v>
      </c>
      <c r="S94" s="58">
        <v>0</v>
      </c>
      <c r="T94" s="58">
        <f t="shared" si="58"/>
        <v>0</v>
      </c>
      <c r="U94" s="21"/>
      <c r="V94" s="23"/>
      <c r="W94" s="23"/>
      <c r="X94" s="23"/>
    </row>
    <row r="95" spans="1:24" ht="11.25" customHeight="1">
      <c r="A95" s="49">
        <v>6290011</v>
      </c>
      <c r="B95" s="49">
        <v>1500</v>
      </c>
      <c r="C95" s="22" t="s">
        <v>93</v>
      </c>
      <c r="D95" s="21"/>
      <c r="E95" s="21" t="s">
        <v>94</v>
      </c>
      <c r="F95" s="21"/>
      <c r="G95" s="58">
        <v>9000</v>
      </c>
      <c r="H95" s="58">
        <v>0</v>
      </c>
      <c r="I95" s="58">
        <f t="shared" si="57"/>
        <v>9000</v>
      </c>
      <c r="J95" s="21"/>
      <c r="K95" s="77" t="e">
        <f ca="1">+Q95</f>
        <v>#NAME?</v>
      </c>
      <c r="L95" s="23">
        <v>0</v>
      </c>
      <c r="M95" s="23" t="e">
        <f t="shared" ref="M95:M98" ca="1" si="60">K95+L95</f>
        <v>#NAME?</v>
      </c>
      <c r="N95" s="21"/>
      <c r="O95" s="59" t="e">
        <f t="shared" ca="1" si="59"/>
        <v>#NAME?</v>
      </c>
      <c r="P95" s="21"/>
      <c r="Q95" s="21" t="e" cm="1">
        <f t="array" aca="1" ref="Q95" ca="1">[1]!CN(62900011,,0,0,$M$2)+[1]!CN(62900016,,0,0,$M$2)</f>
        <v>#NAME?</v>
      </c>
      <c r="R95" s="58">
        <v>12000</v>
      </c>
      <c r="S95" s="58">
        <v>0</v>
      </c>
      <c r="T95" s="58">
        <f t="shared" si="58"/>
        <v>12000</v>
      </c>
      <c r="U95" s="21"/>
      <c r="V95" s="77"/>
      <c r="W95" s="23"/>
      <c r="X95" s="23"/>
    </row>
    <row r="96" spans="1:24" ht="11.25" customHeight="1">
      <c r="A96" s="49">
        <v>6299999</v>
      </c>
      <c r="B96" s="49"/>
      <c r="C96" s="22" t="s">
        <v>95</v>
      </c>
      <c r="D96" s="21"/>
      <c r="E96" s="21" t="s">
        <v>96</v>
      </c>
      <c r="F96" s="21"/>
      <c r="G96" s="58">
        <v>500</v>
      </c>
      <c r="H96" s="58">
        <v>0</v>
      </c>
      <c r="I96" s="58">
        <f t="shared" si="57"/>
        <v>500</v>
      </c>
      <c r="J96" s="21"/>
      <c r="K96" s="77" t="e">
        <f ca="1">+Q96</f>
        <v>#NAME?</v>
      </c>
      <c r="L96" s="23">
        <v>0</v>
      </c>
      <c r="M96" s="23" t="e">
        <f t="shared" ca="1" si="60"/>
        <v>#NAME?</v>
      </c>
      <c r="N96" s="21"/>
      <c r="O96" s="59" t="e">
        <f t="shared" ca="1" si="59"/>
        <v>#NAME?</v>
      </c>
      <c r="P96" s="21"/>
      <c r="Q96" s="21" t="e" cm="1">
        <f t="array" aca="1" ref="Q96" ca="1">[1]!CN(62999999,,0,0,$M$2)+[1]!CN(62990000,,0,0,$M$2)</f>
        <v>#NAME?</v>
      </c>
      <c r="R96" s="58">
        <v>500</v>
      </c>
      <c r="S96" s="58">
        <v>0</v>
      </c>
      <c r="T96" s="58">
        <f t="shared" si="58"/>
        <v>500</v>
      </c>
      <c r="U96" s="21"/>
      <c r="V96" s="77"/>
      <c r="W96" s="23"/>
      <c r="X96" s="23"/>
    </row>
    <row r="97" spans="1:24" ht="11.25" customHeight="1">
      <c r="A97" s="49">
        <v>6290000</v>
      </c>
      <c r="B97" s="49"/>
      <c r="C97" s="22" t="s">
        <v>98</v>
      </c>
      <c r="D97" s="21"/>
      <c r="E97" s="21" t="s">
        <v>450</v>
      </c>
      <c r="F97" s="21"/>
      <c r="G97" s="58">
        <v>3200</v>
      </c>
      <c r="H97" s="58">
        <v>0</v>
      </c>
      <c r="I97" s="58">
        <f t="shared" si="57"/>
        <v>3200</v>
      </c>
      <c r="J97" s="21"/>
      <c r="K97" s="77" t="e">
        <f ca="1">+Q97</f>
        <v>#NAME?</v>
      </c>
      <c r="L97" s="23">
        <v>0</v>
      </c>
      <c r="M97" s="23" t="e">
        <f t="shared" ca="1" si="60"/>
        <v>#NAME?</v>
      </c>
      <c r="N97" s="21"/>
      <c r="O97" s="59" t="e">
        <f t="shared" ca="1" si="59"/>
        <v>#NAME?</v>
      </c>
      <c r="P97" s="21"/>
      <c r="Q97" s="21" t="e" cm="1">
        <f t="array" aca="1" ref="Q97" ca="1">[1]!CN(62900000,,0,0,$M$2)</f>
        <v>#NAME?</v>
      </c>
      <c r="R97" s="58">
        <v>3200</v>
      </c>
      <c r="S97" s="58">
        <v>0</v>
      </c>
      <c r="T97" s="58">
        <f t="shared" si="58"/>
        <v>3200</v>
      </c>
      <c r="U97" s="21"/>
      <c r="V97" s="77"/>
      <c r="W97" s="23"/>
      <c r="X97" s="23"/>
    </row>
    <row r="98" spans="1:24" ht="11.25" customHeight="1">
      <c r="A98" s="49"/>
      <c r="B98" s="49"/>
      <c r="C98" s="22" t="s">
        <v>100</v>
      </c>
      <c r="D98" s="21"/>
      <c r="E98" s="21" t="s">
        <v>101</v>
      </c>
      <c r="F98" s="21"/>
      <c r="G98" s="58">
        <v>9000</v>
      </c>
      <c r="H98" s="58">
        <v>0</v>
      </c>
      <c r="I98" s="58">
        <f t="shared" si="57"/>
        <v>9000</v>
      </c>
      <c r="J98" s="21"/>
      <c r="K98" s="23">
        <v>0</v>
      </c>
      <c r="L98" s="23">
        <v>0</v>
      </c>
      <c r="M98" s="23">
        <f t="shared" si="60"/>
        <v>0</v>
      </c>
      <c r="N98" s="21"/>
      <c r="O98" s="59">
        <f t="shared" si="59"/>
        <v>0</v>
      </c>
      <c r="P98" s="21"/>
      <c r="Q98" s="21"/>
      <c r="R98" s="58">
        <v>4500</v>
      </c>
      <c r="S98" s="58">
        <v>0</v>
      </c>
      <c r="T98" s="58">
        <f t="shared" si="58"/>
        <v>4500</v>
      </c>
      <c r="U98" s="21"/>
      <c r="V98" s="23"/>
      <c r="W98" s="23"/>
      <c r="X98" s="23"/>
    </row>
    <row r="99" spans="1:24" ht="11.25" customHeight="1">
      <c r="A99" s="49"/>
      <c r="B99" s="49"/>
      <c r="C99" s="22"/>
      <c r="D99" s="21"/>
      <c r="E99" s="21"/>
      <c r="F99" s="21"/>
      <c r="G99" s="58"/>
      <c r="H99" s="58"/>
      <c r="I99" s="58"/>
      <c r="J99" s="21"/>
      <c r="K99" s="23"/>
      <c r="L99" s="23"/>
      <c r="M99" s="23"/>
      <c r="N99" s="21"/>
      <c r="O99" s="53"/>
      <c r="P99" s="21"/>
      <c r="Q99" s="21"/>
      <c r="R99" s="58"/>
      <c r="S99" s="58"/>
      <c r="T99" s="58"/>
      <c r="U99" s="21"/>
      <c r="V99" s="23"/>
      <c r="W99" s="23"/>
      <c r="X99" s="23"/>
    </row>
    <row r="100" spans="1:24" ht="11.25" customHeight="1">
      <c r="A100" s="49"/>
      <c r="B100" s="49"/>
      <c r="C100" s="22">
        <v>227</v>
      </c>
      <c r="D100" s="21"/>
      <c r="E100" s="50" t="s">
        <v>105</v>
      </c>
      <c r="F100" s="21"/>
      <c r="G100" s="51">
        <f>SUM(G101:G109)</f>
        <v>66915</v>
      </c>
      <c r="H100" s="51">
        <f t="shared" ref="H100" si="61">SUM(H101:H108)</f>
        <v>0</v>
      </c>
      <c r="I100" s="51">
        <f>SUM(I101:I109)</f>
        <v>66915</v>
      </c>
      <c r="J100" s="21"/>
      <c r="K100" s="52" t="e">
        <f t="shared" ref="K100:L100" ca="1" si="62">SUM(K101:K108)</f>
        <v>#NAME?</v>
      </c>
      <c r="L100" s="52">
        <f t="shared" si="62"/>
        <v>0</v>
      </c>
      <c r="M100" s="52" t="e">
        <f t="shared" ref="M100:M108" ca="1" si="63">K100+L100</f>
        <v>#NAME?</v>
      </c>
      <c r="N100" s="21"/>
      <c r="O100" s="53" t="e">
        <f t="shared" ref="O100:O101" ca="1" si="64">M100/I100</f>
        <v>#NAME?</v>
      </c>
      <c r="P100" s="21"/>
      <c r="Q100" s="21"/>
      <c r="R100" s="51">
        <f>SUM(R101:R109)</f>
        <v>64900</v>
      </c>
      <c r="S100" s="51">
        <f t="shared" ref="S100:T100" si="65">SUM(S101:S109)</f>
        <v>0</v>
      </c>
      <c r="T100" s="51">
        <f t="shared" si="65"/>
        <v>64900</v>
      </c>
      <c r="U100" s="21"/>
      <c r="V100" s="52"/>
      <c r="W100" s="52"/>
      <c r="X100" s="52"/>
    </row>
    <row r="101" spans="1:24" ht="11.25" customHeight="1">
      <c r="A101" s="49">
        <v>6290012</v>
      </c>
      <c r="B101" s="49"/>
      <c r="C101" s="22" t="s">
        <v>106</v>
      </c>
      <c r="D101" s="21"/>
      <c r="E101" s="21" t="s">
        <v>107</v>
      </c>
      <c r="F101" s="21"/>
      <c r="G101" s="58">
        <v>2700</v>
      </c>
      <c r="H101" s="58">
        <v>0</v>
      </c>
      <c r="I101" s="58">
        <f>+G101+H101</f>
        <v>2700</v>
      </c>
      <c r="J101" s="21"/>
      <c r="K101" s="77" t="e">
        <f ca="1">+Q101</f>
        <v>#NAME?</v>
      </c>
      <c r="L101" s="23">
        <v>0</v>
      </c>
      <c r="M101" s="23" t="e">
        <f t="shared" ca="1" si="63"/>
        <v>#NAME?</v>
      </c>
      <c r="N101" s="21"/>
      <c r="O101" s="59" t="e">
        <f t="shared" ca="1" si="64"/>
        <v>#NAME?</v>
      </c>
      <c r="P101" s="21"/>
      <c r="Q101" s="21" t="e" cm="1">
        <f t="array" aca="1" ref="Q101" ca="1">[1]!CN(62900012,,0,0,$M$2)</f>
        <v>#NAME?</v>
      </c>
      <c r="R101" s="58">
        <v>2500</v>
      </c>
      <c r="S101" s="58">
        <v>0</v>
      </c>
      <c r="T101" s="58">
        <f>+R101+S101</f>
        <v>2500</v>
      </c>
      <c r="U101" s="21"/>
      <c r="V101" s="77"/>
      <c r="W101" s="23"/>
      <c r="X101" s="23"/>
    </row>
    <row r="102" spans="1:24" ht="11.25" customHeight="1">
      <c r="A102" s="49">
        <v>6290014</v>
      </c>
      <c r="B102" s="49"/>
      <c r="C102" s="22" t="s">
        <v>108</v>
      </c>
      <c r="D102" s="21"/>
      <c r="E102" s="21" t="s">
        <v>109</v>
      </c>
      <c r="F102" s="21"/>
      <c r="G102" s="58">
        <v>0</v>
      </c>
      <c r="H102" s="58">
        <v>0</v>
      </c>
      <c r="I102" s="58">
        <f t="shared" ref="I102:I109" si="66">+G102+H102</f>
        <v>0</v>
      </c>
      <c r="J102" s="21"/>
      <c r="K102" s="23">
        <v>0</v>
      </c>
      <c r="L102" s="23">
        <v>0</v>
      </c>
      <c r="M102" s="23">
        <f t="shared" si="63"/>
        <v>0</v>
      </c>
      <c r="N102" s="21"/>
      <c r="O102" s="59">
        <v>0</v>
      </c>
      <c r="P102" s="21"/>
      <c r="Q102" s="21"/>
      <c r="R102" s="58">
        <v>0</v>
      </c>
      <c r="S102" s="58">
        <v>0</v>
      </c>
      <c r="T102" s="58">
        <f t="shared" ref="T102:T109" si="67">+R102+S102</f>
        <v>0</v>
      </c>
      <c r="U102" s="21"/>
      <c r="V102" s="23"/>
      <c r="W102" s="23"/>
      <c r="X102" s="23"/>
    </row>
    <row r="103" spans="1:24" ht="11.25" customHeight="1">
      <c r="A103" s="49">
        <v>6230001</v>
      </c>
      <c r="B103" s="49"/>
      <c r="C103" s="22" t="s">
        <v>110</v>
      </c>
      <c r="D103" s="21"/>
      <c r="E103" s="21" t="s">
        <v>111</v>
      </c>
      <c r="F103" s="21"/>
      <c r="G103" s="58">
        <v>6955</v>
      </c>
      <c r="H103" s="58">
        <v>0</v>
      </c>
      <c r="I103" s="58">
        <f t="shared" si="66"/>
        <v>6955</v>
      </c>
      <c r="J103" s="21"/>
      <c r="K103" s="77" t="e">
        <f ca="1">+Q103</f>
        <v>#NAME?</v>
      </c>
      <c r="L103" s="23">
        <v>0</v>
      </c>
      <c r="M103" s="23" t="e">
        <f t="shared" ca="1" si="63"/>
        <v>#NAME?</v>
      </c>
      <c r="N103" s="21"/>
      <c r="O103" s="59" t="e">
        <f t="shared" ref="O103:O106" ca="1" si="68">M103/I103</f>
        <v>#NAME?</v>
      </c>
      <c r="P103" s="21"/>
      <c r="Q103" s="21" t="e" cm="1">
        <f t="array" aca="1" ref="Q103" ca="1">[1]!CN(62900033,,0,0,$M$2)</f>
        <v>#NAME?</v>
      </c>
      <c r="R103" s="58">
        <v>6750</v>
      </c>
      <c r="S103" s="58">
        <v>0</v>
      </c>
      <c r="T103" s="58">
        <f t="shared" si="67"/>
        <v>6750</v>
      </c>
      <c r="U103" s="21"/>
      <c r="V103" s="23"/>
      <c r="W103" s="23"/>
      <c r="X103" s="23"/>
    </row>
    <row r="104" spans="1:24" ht="11.25" customHeight="1">
      <c r="A104" s="49">
        <v>6230002</v>
      </c>
      <c r="B104" s="49"/>
      <c r="C104" s="22" t="s">
        <v>112</v>
      </c>
      <c r="D104" s="21"/>
      <c r="E104" s="21" t="s">
        <v>113</v>
      </c>
      <c r="F104" s="21"/>
      <c r="G104" s="58">
        <v>1110</v>
      </c>
      <c r="H104" s="58">
        <v>0</v>
      </c>
      <c r="I104" s="58">
        <f t="shared" si="66"/>
        <v>1110</v>
      </c>
      <c r="J104" s="21"/>
      <c r="K104" s="77" t="e">
        <f ca="1">+Q104</f>
        <v>#NAME?</v>
      </c>
      <c r="L104" s="23">
        <v>0</v>
      </c>
      <c r="M104" s="23" t="e">
        <f t="shared" ca="1" si="63"/>
        <v>#NAME?</v>
      </c>
      <c r="N104" s="21"/>
      <c r="O104" s="59" t="e">
        <f t="shared" ca="1" si="68"/>
        <v>#NAME?</v>
      </c>
      <c r="P104" s="21"/>
      <c r="Q104" s="21" t="e" cm="1">
        <f t="array" aca="1" ref="Q104" ca="1">[1]!CN(62300002,,0,0,$M$2)</f>
        <v>#NAME?</v>
      </c>
      <c r="R104" s="58">
        <v>1000</v>
      </c>
      <c r="S104" s="58">
        <v>0</v>
      </c>
      <c r="T104" s="58">
        <f t="shared" si="67"/>
        <v>1000</v>
      </c>
      <c r="U104" s="21"/>
      <c r="V104" s="23"/>
      <c r="W104" s="23"/>
      <c r="X104" s="23"/>
    </row>
    <row r="105" spans="1:24" ht="12" customHeight="1">
      <c r="A105" s="49">
        <v>6230003</v>
      </c>
      <c r="B105" s="49"/>
      <c r="C105" s="22" t="s">
        <v>115</v>
      </c>
      <c r="D105" s="21"/>
      <c r="E105" s="21" t="s">
        <v>116</v>
      </c>
      <c r="F105" s="21"/>
      <c r="G105" s="58">
        <v>17050</v>
      </c>
      <c r="H105" s="58">
        <v>0</v>
      </c>
      <c r="I105" s="58">
        <f t="shared" si="66"/>
        <v>17050</v>
      </c>
      <c r="J105" s="21"/>
      <c r="K105" s="77" t="e">
        <f ca="1">+Q105</f>
        <v>#NAME?</v>
      </c>
      <c r="L105" s="23">
        <v>0</v>
      </c>
      <c r="M105" s="23" t="e">
        <f ca="1">K105+L105</f>
        <v>#NAME?</v>
      </c>
      <c r="N105" s="21"/>
      <c r="O105" s="59" t="e">
        <f t="shared" ca="1" si="68"/>
        <v>#NAME?</v>
      </c>
      <c r="P105" s="21"/>
      <c r="Q105" s="21" t="e" cm="1">
        <f t="array" aca="1" ref="Q105" ca="1">[1]!CN(62300003,,0,0,$M$2)+[1]!CN(62900034,,0,0,M2)</f>
        <v>#NAME?</v>
      </c>
      <c r="R105" s="58">
        <v>17050</v>
      </c>
      <c r="S105" s="58">
        <v>0</v>
      </c>
      <c r="T105" s="58">
        <f t="shared" si="67"/>
        <v>17050</v>
      </c>
      <c r="U105" s="21"/>
      <c r="V105" s="77"/>
      <c r="W105" s="23"/>
      <c r="X105" s="23"/>
    </row>
    <row r="106" spans="1:24" ht="11.25" customHeight="1">
      <c r="A106" s="49">
        <v>6230004</v>
      </c>
      <c r="B106" s="49"/>
      <c r="C106" s="22" t="s">
        <v>118</v>
      </c>
      <c r="D106" s="57"/>
      <c r="E106" s="21" t="s">
        <v>451</v>
      </c>
      <c r="F106" s="57"/>
      <c r="G106" s="58">
        <v>6500</v>
      </c>
      <c r="H106" s="58">
        <v>0</v>
      </c>
      <c r="I106" s="58">
        <f t="shared" si="66"/>
        <v>6500</v>
      </c>
      <c r="J106" s="57"/>
      <c r="K106" s="77" t="e">
        <f ca="1">+Q106</f>
        <v>#NAME?</v>
      </c>
      <c r="L106" s="23">
        <v>0</v>
      </c>
      <c r="M106" s="23" t="e">
        <f ca="1">K106+L106</f>
        <v>#NAME?</v>
      </c>
      <c r="N106" s="57"/>
      <c r="O106" s="59" t="e">
        <f t="shared" ca="1" si="68"/>
        <v>#NAME?</v>
      </c>
      <c r="P106" s="57"/>
      <c r="Q106" s="21" t="e" cm="1">
        <f t="array" aca="1" ref="Q106" ca="1">[1]!CN(62300012,,0,0,$M$2)+[1]!CN(62900035,,0,0,M2)</f>
        <v>#NAME?</v>
      </c>
      <c r="R106" s="58">
        <v>6500</v>
      </c>
      <c r="S106" s="58">
        <v>0</v>
      </c>
      <c r="T106" s="58">
        <f t="shared" si="67"/>
        <v>6500</v>
      </c>
      <c r="U106" s="57"/>
      <c r="V106" s="77"/>
      <c r="W106" s="23"/>
      <c r="X106" s="23"/>
    </row>
    <row r="107" spans="1:24" ht="11.25" customHeight="1">
      <c r="A107" s="49">
        <v>6230000</v>
      </c>
      <c r="B107" s="49"/>
      <c r="C107" s="22" t="s">
        <v>120</v>
      </c>
      <c r="D107" s="21"/>
      <c r="E107" s="21" t="s">
        <v>121</v>
      </c>
      <c r="F107" s="21"/>
      <c r="G107" s="58">
        <v>16500</v>
      </c>
      <c r="H107" s="58">
        <v>0</v>
      </c>
      <c r="I107" s="58">
        <f t="shared" si="66"/>
        <v>16500</v>
      </c>
      <c r="J107" s="21"/>
      <c r="K107" s="77" t="e">
        <f ca="1">+Q107</f>
        <v>#NAME?</v>
      </c>
      <c r="L107" s="23">
        <v>0</v>
      </c>
      <c r="M107" s="23" t="e">
        <f t="shared" ca="1" si="63"/>
        <v>#NAME?</v>
      </c>
      <c r="N107" s="21"/>
      <c r="O107" s="59" t="e">
        <f t="shared" ref="O107:O108" ca="1" si="69">M107/I107</f>
        <v>#NAME?</v>
      </c>
      <c r="P107" s="21"/>
      <c r="Q107" s="21" t="e" cm="1">
        <f t="array" aca="1" ref="Q107" ca="1">[1]!CN(62300005,,0,0,$M$2)+[1]!CN(62900036,,0,0,M2)+[1]!CN(60700000,,0,1,$M$2)</f>
        <v>#NAME?</v>
      </c>
      <c r="R107" s="58">
        <v>15000</v>
      </c>
      <c r="S107" s="58">
        <v>0</v>
      </c>
      <c r="T107" s="58">
        <f t="shared" si="67"/>
        <v>15000</v>
      </c>
      <c r="U107" s="21"/>
      <c r="V107" s="77"/>
      <c r="W107" s="23"/>
      <c r="X107" s="23"/>
    </row>
    <row r="108" spans="1:24" ht="11.25" customHeight="1">
      <c r="A108" s="49"/>
      <c r="B108" s="49"/>
      <c r="C108" s="22" t="s">
        <v>123</v>
      </c>
      <c r="D108" s="21"/>
      <c r="E108" s="21" t="s">
        <v>124</v>
      </c>
      <c r="F108" s="21"/>
      <c r="G108" s="58">
        <v>6100</v>
      </c>
      <c r="H108" s="58">
        <v>0</v>
      </c>
      <c r="I108" s="58">
        <f t="shared" si="66"/>
        <v>6100</v>
      </c>
      <c r="J108" s="21"/>
      <c r="K108" s="23">
        <f>21255.6*0.15+816.84*0.15*M2</f>
        <v>3555.9179999999997</v>
      </c>
      <c r="L108" s="23">
        <v>0</v>
      </c>
      <c r="M108" s="23">
        <f t="shared" si="63"/>
        <v>3555.9179999999997</v>
      </c>
      <c r="N108" s="21"/>
      <c r="O108" s="59">
        <f t="shared" si="69"/>
        <v>0.58293737704918025</v>
      </c>
      <c r="P108" s="21"/>
      <c r="Q108" s="21"/>
      <c r="R108" s="58">
        <v>6100</v>
      </c>
      <c r="S108" s="58">
        <v>0</v>
      </c>
      <c r="T108" s="58">
        <f t="shared" si="67"/>
        <v>6100</v>
      </c>
      <c r="U108" s="21"/>
      <c r="V108" s="23"/>
      <c r="W108" s="23"/>
      <c r="X108" s="23"/>
    </row>
    <row r="109" spans="1:24" ht="11.25" customHeight="1">
      <c r="A109" s="49"/>
      <c r="B109" s="49"/>
      <c r="C109" s="22" t="s">
        <v>452</v>
      </c>
      <c r="D109" s="21"/>
      <c r="E109" s="21" t="s">
        <v>453</v>
      </c>
      <c r="F109" s="21"/>
      <c r="G109" s="58">
        <v>10000</v>
      </c>
      <c r="H109" s="58">
        <v>0</v>
      </c>
      <c r="I109" s="58">
        <f t="shared" si="66"/>
        <v>10000</v>
      </c>
      <c r="J109" s="21"/>
      <c r="K109" s="23"/>
      <c r="L109" s="23"/>
      <c r="M109" s="23"/>
      <c r="N109" s="21"/>
      <c r="O109" s="368"/>
      <c r="P109" s="21"/>
      <c r="Q109" s="21"/>
      <c r="R109" s="308">
        <v>10000</v>
      </c>
      <c r="S109" s="308">
        <v>0</v>
      </c>
      <c r="T109" s="58">
        <f t="shared" si="67"/>
        <v>10000</v>
      </c>
      <c r="U109" s="21"/>
      <c r="V109" s="23"/>
      <c r="W109" s="23"/>
      <c r="X109" s="23"/>
    </row>
    <row r="110" spans="1:24" ht="12.75" customHeight="1">
      <c r="A110" s="49"/>
      <c r="B110" s="49"/>
      <c r="C110" s="8"/>
      <c r="D110" s="7"/>
      <c r="E110" s="7"/>
      <c r="F110" s="7"/>
      <c r="G110" s="43"/>
      <c r="H110" s="43"/>
      <c r="I110" s="43"/>
      <c r="J110" s="7"/>
      <c r="K110" s="44"/>
      <c r="L110" s="44"/>
      <c r="M110" s="23"/>
      <c r="N110" s="7"/>
      <c r="O110" s="53"/>
      <c r="P110" s="7"/>
      <c r="Q110" s="7"/>
      <c r="R110" s="43"/>
      <c r="S110" s="43"/>
      <c r="T110" s="43"/>
      <c r="U110" s="7"/>
      <c r="V110" s="44"/>
      <c r="W110" s="44"/>
      <c r="X110" s="23"/>
    </row>
    <row r="111" spans="1:24" ht="12.75" customHeight="1">
      <c r="A111" s="49"/>
      <c r="B111" s="49"/>
      <c r="C111" s="36">
        <v>23</v>
      </c>
      <c r="D111" s="7"/>
      <c r="E111" s="14" t="s">
        <v>126</v>
      </c>
      <c r="F111" s="7"/>
      <c r="G111" s="37">
        <f>+G113+G118</f>
        <v>56500</v>
      </c>
      <c r="H111" s="37">
        <f t="shared" ref="H111:I111" si="70">+H113+H118</f>
        <v>0</v>
      </c>
      <c r="I111" s="37">
        <f t="shared" si="70"/>
        <v>56500</v>
      </c>
      <c r="J111" s="7"/>
      <c r="K111" s="38" t="e">
        <f t="shared" ref="K111:L111" ca="1" si="71">K113+K118</f>
        <v>#NAME?</v>
      </c>
      <c r="L111" s="38">
        <f t="shared" si="71"/>
        <v>0</v>
      </c>
      <c r="M111" s="38" t="e">
        <f ca="1">K111+L111</f>
        <v>#NAME?</v>
      </c>
      <c r="N111" s="7"/>
      <c r="O111" s="39" t="e">
        <f ca="1">M111/I111</f>
        <v>#NAME?</v>
      </c>
      <c r="P111" s="7"/>
      <c r="Q111" s="7"/>
      <c r="R111" s="37">
        <f>+R113+R118</f>
        <v>56500</v>
      </c>
      <c r="S111" s="37">
        <f t="shared" ref="S111:T111" si="72">+S113+S118</f>
        <v>0</v>
      </c>
      <c r="T111" s="37">
        <f t="shared" si="72"/>
        <v>56500</v>
      </c>
      <c r="U111" s="7"/>
      <c r="V111" s="38"/>
      <c r="W111" s="38"/>
      <c r="X111" s="38"/>
    </row>
    <row r="112" spans="1:24" ht="6" customHeight="1">
      <c r="A112" s="49"/>
      <c r="B112" s="49"/>
      <c r="C112" s="8"/>
      <c r="D112" s="7"/>
      <c r="E112" s="7"/>
      <c r="F112" s="7"/>
      <c r="G112" s="43"/>
      <c r="H112" s="43"/>
      <c r="I112" s="43"/>
      <c r="J112" s="7"/>
      <c r="K112" s="44"/>
      <c r="L112" s="44"/>
      <c r="M112" s="23"/>
      <c r="N112" s="7"/>
      <c r="O112" s="53"/>
      <c r="P112" s="7"/>
      <c r="Q112" s="7"/>
      <c r="R112" s="43"/>
      <c r="S112" s="43"/>
      <c r="T112" s="43"/>
      <c r="U112" s="7"/>
      <c r="V112" s="44"/>
      <c r="W112" s="44"/>
      <c r="X112" s="23"/>
    </row>
    <row r="113" spans="1:24" ht="11.25" customHeight="1">
      <c r="A113" s="49"/>
      <c r="B113" s="49"/>
      <c r="C113" s="22">
        <v>230</v>
      </c>
      <c r="D113" s="21"/>
      <c r="E113" s="50" t="s">
        <v>127</v>
      </c>
      <c r="F113" s="21"/>
      <c r="G113" s="51">
        <f>SUM(G114:G116)</f>
        <v>54000</v>
      </c>
      <c r="H113" s="51">
        <f t="shared" ref="H113:I113" si="73">SUM(H114:H116)</f>
        <v>0</v>
      </c>
      <c r="I113" s="51">
        <f t="shared" si="73"/>
        <v>54000</v>
      </c>
      <c r="J113" s="21"/>
      <c r="K113" s="52" t="e">
        <f t="shared" ref="K113:L113" ca="1" si="74">SUM(K114:K116)</f>
        <v>#NAME?</v>
      </c>
      <c r="L113" s="52">
        <f t="shared" si="74"/>
        <v>0</v>
      </c>
      <c r="M113" s="52" t="e">
        <f t="shared" ref="M113:M116" ca="1" si="75">K113+L113</f>
        <v>#NAME?</v>
      </c>
      <c r="N113" s="21"/>
      <c r="O113" s="53" t="e">
        <f t="shared" ref="O113:O115" ca="1" si="76">M113/I113</f>
        <v>#NAME?</v>
      </c>
      <c r="P113" s="21"/>
      <c r="Q113" s="21"/>
      <c r="R113" s="51">
        <f>SUM(R114:R116)</f>
        <v>54000</v>
      </c>
      <c r="S113" s="51">
        <f t="shared" ref="S113:T113" si="77">SUM(S114:S116)</f>
        <v>0</v>
      </c>
      <c r="T113" s="51">
        <f t="shared" si="77"/>
        <v>54000</v>
      </c>
      <c r="U113" s="21"/>
      <c r="V113" s="52"/>
      <c r="W113" s="52"/>
      <c r="X113" s="52"/>
    </row>
    <row r="114" spans="1:24" ht="11.25" customHeight="1">
      <c r="A114" s="49">
        <v>6480000</v>
      </c>
      <c r="B114" s="49"/>
      <c r="C114" s="22" t="s">
        <v>128</v>
      </c>
      <c r="D114" s="21"/>
      <c r="E114" s="21" t="s">
        <v>129</v>
      </c>
      <c r="F114" s="21"/>
      <c r="G114" s="58">
        <v>50000</v>
      </c>
      <c r="H114" s="58">
        <v>0</v>
      </c>
      <c r="I114" s="58">
        <f>+G114+H114</f>
        <v>50000</v>
      </c>
      <c r="J114" s="21"/>
      <c r="K114" s="77" t="e">
        <f ca="1">+Q114</f>
        <v>#NAME?</v>
      </c>
      <c r="L114" s="23">
        <v>0</v>
      </c>
      <c r="M114" s="23" t="e">
        <f t="shared" ca="1" si="75"/>
        <v>#NAME?</v>
      </c>
      <c r="N114" s="21"/>
      <c r="O114" s="59" t="e">
        <f t="shared" ca="1" si="76"/>
        <v>#NAME?</v>
      </c>
      <c r="P114" s="21"/>
      <c r="Q114" s="21" t="e" cm="1">
        <f t="array" aca="1" ref="Q114" ca="1">[1]!CN(64800000,,0,0,$M$2)</f>
        <v>#NAME?</v>
      </c>
      <c r="R114" s="58">
        <v>50000</v>
      </c>
      <c r="S114" s="58">
        <v>0</v>
      </c>
      <c r="T114" s="58">
        <f>+R114+S114</f>
        <v>50000</v>
      </c>
      <c r="U114" s="21"/>
      <c r="V114" s="77"/>
      <c r="W114" s="23"/>
      <c r="X114" s="23"/>
    </row>
    <row r="115" spans="1:24" ht="11.25" customHeight="1">
      <c r="A115" s="49">
        <v>6290101</v>
      </c>
      <c r="B115" s="49"/>
      <c r="C115" s="22" t="s">
        <v>130</v>
      </c>
      <c r="D115" s="21"/>
      <c r="E115" s="21" t="s">
        <v>131</v>
      </c>
      <c r="F115" s="21"/>
      <c r="G115" s="58">
        <v>2000</v>
      </c>
      <c r="H115" s="58">
        <v>0</v>
      </c>
      <c r="I115" s="58">
        <f t="shared" ref="I115:I116" si="78">+G115+H115</f>
        <v>2000</v>
      </c>
      <c r="J115" s="21"/>
      <c r="K115" s="77">
        <v>1800</v>
      </c>
      <c r="L115" s="23">
        <v>0</v>
      </c>
      <c r="M115" s="23">
        <f t="shared" si="75"/>
        <v>1800</v>
      </c>
      <c r="N115" s="21"/>
      <c r="O115" s="59">
        <f t="shared" si="76"/>
        <v>0.9</v>
      </c>
      <c r="P115" s="21"/>
      <c r="Q115" s="21" t="e" cm="1">
        <f t="array" aca="1" ref="Q115" ca="1">[1]!CN(64800002,,0,0,$M$2)</f>
        <v>#NAME?</v>
      </c>
      <c r="R115" s="58">
        <v>2000</v>
      </c>
      <c r="S115" s="58">
        <v>0</v>
      </c>
      <c r="T115" s="58">
        <f t="shared" ref="T115:T116" si="79">+R115+S115</f>
        <v>2000</v>
      </c>
      <c r="U115" s="21"/>
      <c r="V115" s="77"/>
      <c r="W115" s="23"/>
      <c r="X115" s="23"/>
    </row>
    <row r="116" spans="1:24" ht="11.25" customHeight="1">
      <c r="A116" s="49">
        <v>6290102</v>
      </c>
      <c r="B116" s="49"/>
      <c r="C116" s="22" t="s">
        <v>132</v>
      </c>
      <c r="D116" s="21"/>
      <c r="E116" s="21" t="s">
        <v>133</v>
      </c>
      <c r="F116" s="21"/>
      <c r="G116" s="58">
        <v>2000</v>
      </c>
      <c r="H116" s="58">
        <v>0</v>
      </c>
      <c r="I116" s="58">
        <f t="shared" si="78"/>
        <v>2000</v>
      </c>
      <c r="J116" s="21"/>
      <c r="K116" s="23">
        <v>0</v>
      </c>
      <c r="L116" s="23">
        <v>0</v>
      </c>
      <c r="M116" s="23">
        <f t="shared" si="75"/>
        <v>0</v>
      </c>
      <c r="N116" s="21"/>
      <c r="O116" s="59">
        <v>0</v>
      </c>
      <c r="P116" s="21"/>
      <c r="Q116" s="21"/>
      <c r="R116" s="58">
        <v>2000</v>
      </c>
      <c r="S116" s="58">
        <v>0</v>
      </c>
      <c r="T116" s="58">
        <f t="shared" si="79"/>
        <v>2000</v>
      </c>
      <c r="U116" s="21"/>
      <c r="V116" s="23"/>
      <c r="W116" s="23"/>
      <c r="X116" s="23"/>
    </row>
    <row r="117" spans="1:24" ht="11.25" customHeight="1">
      <c r="A117" s="49"/>
      <c r="B117" s="49"/>
      <c r="C117" s="22"/>
      <c r="D117" s="21"/>
      <c r="E117" s="21"/>
      <c r="F117" s="21"/>
      <c r="G117" s="58"/>
      <c r="H117" s="58"/>
      <c r="I117" s="58"/>
      <c r="J117" s="21"/>
      <c r="K117" s="23"/>
      <c r="L117" s="23"/>
      <c r="M117" s="23"/>
      <c r="N117" s="21"/>
      <c r="O117" s="53"/>
      <c r="P117" s="21"/>
      <c r="Q117" s="21"/>
      <c r="R117" s="58"/>
      <c r="S117" s="58"/>
      <c r="T117" s="58"/>
      <c r="U117" s="21"/>
      <c r="V117" s="23"/>
      <c r="W117" s="23"/>
      <c r="X117" s="23"/>
    </row>
    <row r="118" spans="1:24" ht="11.25" customHeight="1">
      <c r="A118" s="49"/>
      <c r="B118" s="49"/>
      <c r="C118" s="22">
        <v>231</v>
      </c>
      <c r="D118" s="21"/>
      <c r="E118" s="50" t="s">
        <v>134</v>
      </c>
      <c r="F118" s="21"/>
      <c r="G118" s="51">
        <f>+G119</f>
        <v>2500</v>
      </c>
      <c r="H118" s="51">
        <f t="shared" ref="H118:I118" si="80">+H119</f>
        <v>0</v>
      </c>
      <c r="I118" s="51">
        <f t="shared" si="80"/>
        <v>2500</v>
      </c>
      <c r="J118" s="21"/>
      <c r="K118" s="52" t="e">
        <f ca="1">SUM(K119:K128)</f>
        <v>#NAME?</v>
      </c>
      <c r="L118" s="52">
        <f>SUM(L119:L128)</f>
        <v>0</v>
      </c>
      <c r="M118" s="52" t="e">
        <f t="shared" ref="M118" ca="1" si="81">K118+L118</f>
        <v>#NAME?</v>
      </c>
      <c r="N118" s="21"/>
      <c r="O118" s="53" t="e">
        <f t="shared" ref="O118:O119" ca="1" si="82">M118/I118</f>
        <v>#NAME?</v>
      </c>
      <c r="P118" s="21"/>
      <c r="Q118" s="21"/>
      <c r="R118" s="51">
        <v>2500</v>
      </c>
      <c r="S118" s="51">
        <v>0</v>
      </c>
      <c r="T118" s="51">
        <v>2500</v>
      </c>
      <c r="U118" s="21"/>
      <c r="V118" s="52"/>
      <c r="W118" s="52"/>
      <c r="X118" s="52"/>
    </row>
    <row r="119" spans="1:24" ht="11.25" customHeight="1">
      <c r="A119" s="49">
        <v>6480001</v>
      </c>
      <c r="B119" s="49"/>
      <c r="D119" s="21"/>
      <c r="E119" s="21" t="s">
        <v>136</v>
      </c>
      <c r="F119" s="21"/>
      <c r="G119" s="58">
        <v>2500</v>
      </c>
      <c r="H119" s="58">
        <v>0</v>
      </c>
      <c r="I119" s="58">
        <f>+G119+H119</f>
        <v>2500</v>
      </c>
      <c r="J119" s="21"/>
      <c r="K119" s="77" t="e">
        <f ca="1">+Q119</f>
        <v>#NAME?</v>
      </c>
      <c r="L119" s="23">
        <v>0</v>
      </c>
      <c r="M119" s="23" t="e">
        <f ca="1">K119+L119</f>
        <v>#NAME?</v>
      </c>
      <c r="N119" s="21"/>
      <c r="O119" s="59" t="e">
        <f t="shared" ca="1" si="82"/>
        <v>#NAME?</v>
      </c>
      <c r="P119" s="21"/>
      <c r="Q119" s="21" t="e" cm="1">
        <f t="array" aca="1" ref="Q119" ca="1">[1]!CN(64800001,,0,0,$M$2)</f>
        <v>#NAME?</v>
      </c>
      <c r="R119" s="58">
        <v>2500</v>
      </c>
      <c r="S119" s="58">
        <v>0</v>
      </c>
      <c r="T119" s="58">
        <v>2500</v>
      </c>
      <c r="U119" s="21"/>
      <c r="V119" s="77"/>
      <c r="W119" s="23"/>
      <c r="X119" s="23"/>
    </row>
    <row r="120" spans="1:24" ht="12.75" customHeight="1">
      <c r="C120" s="22"/>
      <c r="O120" s="89"/>
    </row>
    <row r="121" spans="1:24" ht="12.75" customHeight="1">
      <c r="A121" s="1"/>
      <c r="B121" s="1"/>
      <c r="C121" s="8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3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8.75">
      <c r="A122" s="1"/>
      <c r="B122" s="1"/>
      <c r="C122" s="2"/>
      <c r="D122" s="1"/>
      <c r="E122" s="1"/>
      <c r="F122" s="1"/>
      <c r="G122" s="375" t="s">
        <v>0</v>
      </c>
      <c r="H122" s="375"/>
      <c r="I122" s="375"/>
      <c r="J122" s="375"/>
      <c r="K122" s="375"/>
      <c r="L122" s="1"/>
      <c r="M122" s="1"/>
      <c r="N122" s="1"/>
      <c r="O122" s="3"/>
      <c r="P122" s="1"/>
      <c r="Q122" s="1"/>
      <c r="R122" s="375"/>
      <c r="S122" s="375"/>
      <c r="T122" s="375"/>
      <c r="U122" s="375"/>
      <c r="V122" s="375"/>
      <c r="W122" s="1"/>
      <c r="X122" s="1"/>
    </row>
    <row r="123" spans="1:24" ht="7.5" customHeight="1" thickBot="1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3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396" t="s">
        <v>1</v>
      </c>
      <c r="B124" s="10"/>
      <c r="C124" s="332" t="s">
        <v>2</v>
      </c>
      <c r="D124" s="11"/>
      <c r="E124" s="401" t="s">
        <v>69</v>
      </c>
      <c r="F124" s="11"/>
      <c r="G124" s="376" t="s">
        <v>454</v>
      </c>
      <c r="H124" s="377"/>
      <c r="I124" s="378"/>
      <c r="J124" s="11"/>
      <c r="K124" s="400" t="s">
        <v>444</v>
      </c>
      <c r="L124" s="377"/>
      <c r="M124" s="378"/>
      <c r="N124" s="11"/>
      <c r="O124" s="12" t="s">
        <v>5</v>
      </c>
      <c r="P124" s="11"/>
      <c r="Q124" s="14"/>
      <c r="R124" s="376" t="s">
        <v>445</v>
      </c>
      <c r="S124" s="377"/>
      <c r="T124" s="378"/>
      <c r="U124" s="11"/>
      <c r="V124" s="382"/>
      <c r="W124" s="383"/>
      <c r="X124" s="383"/>
    </row>
    <row r="125" spans="1:24" ht="27.75" customHeight="1" thickBot="1">
      <c r="A125" s="397"/>
      <c r="B125" s="10"/>
      <c r="C125" s="333"/>
      <c r="D125" s="14"/>
      <c r="E125" s="402"/>
      <c r="F125" s="14"/>
      <c r="G125" s="379"/>
      <c r="H125" s="380"/>
      <c r="I125" s="381"/>
      <c r="J125" s="14"/>
      <c r="K125" s="379"/>
      <c r="L125" s="380"/>
      <c r="M125" s="381"/>
      <c r="N125" s="14"/>
      <c r="O125" s="16" t="s">
        <v>443</v>
      </c>
      <c r="P125" s="14"/>
      <c r="Q125" s="14"/>
      <c r="R125" s="379"/>
      <c r="S125" s="380"/>
      <c r="T125" s="381"/>
      <c r="U125" s="14"/>
      <c r="V125" s="383"/>
      <c r="W125" s="383"/>
      <c r="X125" s="383"/>
    </row>
    <row r="126" spans="1:24" ht="13.5" customHeight="1" thickBot="1">
      <c r="A126" s="21"/>
      <c r="B126" s="21"/>
      <c r="C126" s="22"/>
      <c r="D126" s="21"/>
      <c r="E126" s="21"/>
      <c r="F126" s="21"/>
      <c r="G126" s="23" t="s">
        <v>6</v>
      </c>
      <c r="H126" s="23" t="s">
        <v>7</v>
      </c>
      <c r="I126" s="23" t="s">
        <v>8</v>
      </c>
      <c r="J126" s="21"/>
      <c r="K126" s="23" t="s">
        <v>6</v>
      </c>
      <c r="L126" s="23" t="s">
        <v>7</v>
      </c>
      <c r="M126" s="23" t="s">
        <v>8</v>
      </c>
      <c r="N126" s="21"/>
      <c r="O126" s="24"/>
      <c r="P126" s="21"/>
      <c r="Q126" s="21"/>
      <c r="R126" s="23" t="s">
        <v>6</v>
      </c>
      <c r="S126" s="23" t="s">
        <v>7</v>
      </c>
      <c r="T126" s="23" t="s">
        <v>8</v>
      </c>
      <c r="U126" s="21"/>
      <c r="V126" s="317"/>
      <c r="W126" s="317"/>
      <c r="X126" s="317"/>
    </row>
    <row r="127" spans="1:24" ht="17.25" customHeight="1" thickTop="1" thickBot="1">
      <c r="A127" s="26"/>
      <c r="B127" s="26"/>
      <c r="C127" s="334">
        <v>3</v>
      </c>
      <c r="D127" s="28"/>
      <c r="E127" s="335" t="s">
        <v>137</v>
      </c>
      <c r="F127" s="28"/>
      <c r="G127" s="30">
        <v>0</v>
      </c>
      <c r="H127" s="30">
        <v>0</v>
      </c>
      <c r="I127" s="30">
        <v>0</v>
      </c>
      <c r="J127" s="28"/>
      <c r="K127" s="31">
        <f t="shared" ref="K127:M127" si="83">K129</f>
        <v>0</v>
      </c>
      <c r="L127" s="31">
        <f t="shared" si="83"/>
        <v>0</v>
      </c>
      <c r="M127" s="31">
        <f t="shared" si="83"/>
        <v>0</v>
      </c>
      <c r="N127" s="28"/>
      <c r="O127" s="32">
        <f>O129</f>
        <v>0</v>
      </c>
      <c r="P127" s="28"/>
      <c r="Q127" s="35"/>
      <c r="R127" s="30">
        <v>0</v>
      </c>
      <c r="S127" s="30">
        <v>0</v>
      </c>
      <c r="T127" s="30">
        <v>0</v>
      </c>
      <c r="U127" s="28"/>
      <c r="V127" s="318"/>
      <c r="W127" s="318"/>
      <c r="X127" s="318"/>
    </row>
    <row r="128" spans="1:24" ht="6" customHeight="1" thickTop="1">
      <c r="A128" s="7"/>
      <c r="B128" s="7"/>
      <c r="C128" s="8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9"/>
      <c r="P128" s="7"/>
      <c r="Q128" s="7"/>
      <c r="R128" s="7"/>
      <c r="S128" s="7"/>
      <c r="T128" s="7"/>
      <c r="U128" s="7"/>
      <c r="V128" s="321"/>
      <c r="W128" s="321"/>
      <c r="X128" s="321"/>
    </row>
    <row r="129" spans="1:24" ht="12.75" customHeight="1">
      <c r="A129" s="91">
        <v>6632001</v>
      </c>
      <c r="B129" s="91"/>
      <c r="C129" s="36">
        <v>32</v>
      </c>
      <c r="D129" s="7"/>
      <c r="E129" s="14" t="s">
        <v>139</v>
      </c>
      <c r="F129" s="7"/>
      <c r="G129" s="37">
        <v>0</v>
      </c>
      <c r="H129" s="37">
        <v>0</v>
      </c>
      <c r="I129" s="37">
        <v>0</v>
      </c>
      <c r="J129" s="7"/>
      <c r="K129" s="38">
        <v>0</v>
      </c>
      <c r="L129" s="38">
        <v>0</v>
      </c>
      <c r="M129" s="38">
        <v>0</v>
      </c>
      <c r="N129" s="7"/>
      <c r="O129" s="39">
        <v>0</v>
      </c>
      <c r="P129" s="7"/>
      <c r="Q129" s="7"/>
      <c r="R129" s="37">
        <v>0</v>
      </c>
      <c r="S129" s="37">
        <v>0</v>
      </c>
      <c r="T129" s="37">
        <v>0</v>
      </c>
      <c r="U129" s="7"/>
      <c r="V129" s="322"/>
      <c r="W129" s="322"/>
      <c r="X129" s="322"/>
    </row>
    <row r="130" spans="1:24" ht="13.5" customHeight="1" thickBot="1">
      <c r="A130" s="7"/>
      <c r="B130" s="7"/>
      <c r="C130" s="8"/>
      <c r="D130" s="7"/>
      <c r="E130" s="92"/>
      <c r="F130" s="7"/>
      <c r="G130" s="44"/>
      <c r="H130" s="44"/>
      <c r="I130" s="44"/>
      <c r="J130" s="7"/>
      <c r="K130" s="44"/>
      <c r="L130" s="44"/>
      <c r="M130" s="44"/>
      <c r="N130" s="7"/>
      <c r="O130" s="73"/>
      <c r="P130" s="7"/>
      <c r="Q130" s="7"/>
      <c r="R130" s="44"/>
      <c r="S130" s="44"/>
      <c r="T130" s="44"/>
      <c r="U130" s="7"/>
      <c r="V130" s="319"/>
      <c r="W130" s="319"/>
      <c r="X130" s="319"/>
    </row>
    <row r="131" spans="1:24" ht="17.25" customHeight="1" thickTop="1" thickBot="1">
      <c r="A131" s="26"/>
      <c r="B131" s="26"/>
      <c r="C131" s="334">
        <v>4</v>
      </c>
      <c r="D131" s="28"/>
      <c r="E131" s="335" t="s">
        <v>140</v>
      </c>
      <c r="F131" s="28"/>
      <c r="G131" s="30">
        <f>+G133</f>
        <v>9500</v>
      </c>
      <c r="H131" s="30">
        <v>0</v>
      </c>
      <c r="I131" s="30">
        <f>+I133</f>
        <v>9500</v>
      </c>
      <c r="J131" s="28"/>
      <c r="K131" s="31" t="e">
        <f t="shared" ref="K131:M131" ca="1" si="84">K133</f>
        <v>#NAME?</v>
      </c>
      <c r="L131" s="31">
        <f t="shared" si="84"/>
        <v>0</v>
      </c>
      <c r="M131" s="31" t="e">
        <f t="shared" ca="1" si="84"/>
        <v>#NAME?</v>
      </c>
      <c r="N131" s="28"/>
      <c r="O131" s="32" t="e">
        <f ca="1">O133</f>
        <v>#NAME?</v>
      </c>
      <c r="P131" s="28"/>
      <c r="Q131" s="35"/>
      <c r="R131" s="30">
        <v>9500</v>
      </c>
      <c r="S131" s="30">
        <v>0</v>
      </c>
      <c r="T131" s="30">
        <v>9500</v>
      </c>
      <c r="U131" s="28"/>
      <c r="V131" s="318"/>
      <c r="W131" s="318"/>
      <c r="X131" s="318"/>
    </row>
    <row r="132" spans="1:24" ht="14.25" customHeight="1" thickTop="1">
      <c r="A132" s="7"/>
      <c r="B132" s="7"/>
      <c r="C132" s="8"/>
      <c r="D132" s="7"/>
      <c r="E132" s="7"/>
      <c r="F132" s="7"/>
      <c r="G132" s="44"/>
      <c r="H132" s="44"/>
      <c r="I132" s="44"/>
      <c r="J132" s="7"/>
      <c r="K132" s="44"/>
      <c r="L132" s="44"/>
      <c r="M132" s="44"/>
      <c r="N132" s="7"/>
      <c r="O132" s="73"/>
      <c r="P132" s="7"/>
      <c r="Q132" s="7"/>
      <c r="R132" s="44"/>
      <c r="S132" s="44"/>
      <c r="T132" s="44"/>
      <c r="U132" s="7"/>
      <c r="V132" s="319"/>
      <c r="W132" s="319"/>
      <c r="X132" s="319"/>
    </row>
    <row r="133" spans="1:24" ht="12.75" customHeight="1">
      <c r="A133" s="7"/>
      <c r="B133" s="7"/>
      <c r="C133" s="36">
        <v>48</v>
      </c>
      <c r="D133" s="7"/>
      <c r="E133" s="14" t="s">
        <v>141</v>
      </c>
      <c r="F133" s="7"/>
      <c r="G133" s="37">
        <f>+G134</f>
        <v>9500</v>
      </c>
      <c r="H133" s="37">
        <v>0</v>
      </c>
      <c r="I133" s="37">
        <f>+I134</f>
        <v>9500</v>
      </c>
      <c r="J133" s="7"/>
      <c r="K133" s="38" t="e">
        <f t="shared" ref="K133:L133" ca="1" si="85">K134</f>
        <v>#NAME?</v>
      </c>
      <c r="L133" s="38">
        <f t="shared" si="85"/>
        <v>0</v>
      </c>
      <c r="M133" s="38" t="e">
        <f t="shared" ref="M133:M134" ca="1" si="86">L133+K133</f>
        <v>#NAME?</v>
      </c>
      <c r="N133" s="7"/>
      <c r="O133" s="39" t="e">
        <f t="shared" ref="O133:O134" ca="1" si="87">M133/I133</f>
        <v>#NAME?</v>
      </c>
      <c r="P133" s="7"/>
      <c r="Q133" s="7"/>
      <c r="R133" s="37">
        <f>+R134</f>
        <v>9500</v>
      </c>
      <c r="S133" s="37">
        <v>0</v>
      </c>
      <c r="T133" s="37">
        <f>+T134</f>
        <v>9500</v>
      </c>
      <c r="U133" s="7"/>
      <c r="V133" s="322"/>
      <c r="W133" s="322"/>
      <c r="X133" s="322"/>
    </row>
    <row r="134" spans="1:24" ht="11.25" customHeight="1">
      <c r="A134" s="49">
        <v>5530001</v>
      </c>
      <c r="B134" s="49"/>
      <c r="C134" s="22">
        <v>480</v>
      </c>
      <c r="D134" s="21"/>
      <c r="E134" s="291" t="s">
        <v>257</v>
      </c>
      <c r="F134" s="21"/>
      <c r="G134" s="58">
        <v>9500</v>
      </c>
      <c r="H134" s="58">
        <v>0</v>
      </c>
      <c r="I134" s="58">
        <f>+G134+H134</f>
        <v>9500</v>
      </c>
      <c r="J134" s="21"/>
      <c r="K134" s="23" t="e">
        <f ca="1">+Q134</f>
        <v>#NAME?</v>
      </c>
      <c r="L134" s="23">
        <v>0</v>
      </c>
      <c r="M134" s="23" t="e">
        <f t="shared" ca="1" si="86"/>
        <v>#NAME?</v>
      </c>
      <c r="N134" s="21"/>
      <c r="O134" s="45" t="e">
        <f t="shared" ca="1" si="87"/>
        <v>#NAME?</v>
      </c>
      <c r="P134" s="21"/>
      <c r="Q134" s="21" t="e" cm="1">
        <f t="array" aca="1" ref="Q134" ca="1">[1]!CN(62900027,,0,0,$M$2)</f>
        <v>#NAME?</v>
      </c>
      <c r="R134" s="58">
        <v>9500</v>
      </c>
      <c r="S134" s="58">
        <v>0</v>
      </c>
      <c r="T134" s="58">
        <f>+R134+S134</f>
        <v>9500</v>
      </c>
      <c r="U134" s="21"/>
      <c r="V134" s="317"/>
      <c r="W134" s="317"/>
      <c r="X134" s="317"/>
    </row>
    <row r="135" spans="1:24" ht="20.25" customHeight="1" thickBot="1">
      <c r="A135" s="49"/>
      <c r="B135" s="49"/>
      <c r="C135" s="8"/>
      <c r="D135" s="21"/>
      <c r="E135" s="7"/>
      <c r="F135" s="21"/>
      <c r="G135" s="44"/>
      <c r="H135" s="44"/>
      <c r="I135" s="44"/>
      <c r="J135" s="21"/>
      <c r="K135" s="44"/>
      <c r="L135" s="44"/>
      <c r="M135" s="44"/>
      <c r="N135" s="21"/>
      <c r="O135" s="73"/>
      <c r="P135" s="21"/>
      <c r="Q135" s="7"/>
      <c r="R135" s="44"/>
      <c r="S135" s="44"/>
      <c r="T135" s="44"/>
      <c r="U135" s="21"/>
      <c r="V135" s="319"/>
      <c r="W135" s="319"/>
      <c r="X135" s="319"/>
    </row>
    <row r="136" spans="1:24" ht="17.25" customHeight="1" thickTop="1" thickBot="1">
      <c r="A136" s="26"/>
      <c r="B136" s="26"/>
      <c r="C136" s="334">
        <v>6</v>
      </c>
      <c r="D136" s="28"/>
      <c r="E136" s="335" t="s">
        <v>143</v>
      </c>
      <c r="F136" s="28"/>
      <c r="G136" s="30">
        <f t="shared" ref="G136:I136" si="88">SUM(G138,G145)</f>
        <v>56930</v>
      </c>
      <c r="H136" s="30">
        <f t="shared" si="88"/>
        <v>0</v>
      </c>
      <c r="I136" s="30">
        <f t="shared" si="88"/>
        <v>56930</v>
      </c>
      <c r="J136" s="28"/>
      <c r="K136" s="31" t="e">
        <f t="shared" ref="K136:L136" ca="1" si="89">SUM(K138,K145)</f>
        <v>#NAME?</v>
      </c>
      <c r="L136" s="31">
        <f t="shared" si="89"/>
        <v>0</v>
      </c>
      <c r="M136" s="31" t="e">
        <f ca="1">M138</f>
        <v>#NAME?</v>
      </c>
      <c r="N136" s="28"/>
      <c r="O136" s="32" t="e">
        <f ca="1">O138</f>
        <v>#NAME?</v>
      </c>
      <c r="P136" s="28"/>
      <c r="Q136" s="35"/>
      <c r="R136" s="30">
        <f t="shared" ref="R136:T136" si="90">SUM(R138,R145)</f>
        <v>25285.47</v>
      </c>
      <c r="S136" s="30">
        <f t="shared" si="90"/>
        <v>0</v>
      </c>
      <c r="T136" s="30">
        <f t="shared" si="90"/>
        <v>25285.47</v>
      </c>
      <c r="U136" s="28"/>
      <c r="V136" s="318"/>
      <c r="W136" s="318"/>
      <c r="X136" s="318"/>
    </row>
    <row r="137" spans="1:24" ht="17.25" customHeight="1" thickTop="1">
      <c r="A137" s="49"/>
      <c r="B137" s="49"/>
      <c r="C137" s="8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9"/>
      <c r="P137" s="7"/>
      <c r="Q137" s="7"/>
      <c r="R137" s="7"/>
      <c r="S137" s="7"/>
      <c r="T137" s="7"/>
      <c r="U137" s="7"/>
      <c r="V137" s="321"/>
      <c r="W137" s="321"/>
      <c r="X137" s="321"/>
    </row>
    <row r="138" spans="1:24" ht="12.75" customHeight="1">
      <c r="A138" s="49"/>
      <c r="B138" s="49"/>
      <c r="C138" s="36">
        <v>60</v>
      </c>
      <c r="D138" s="7"/>
      <c r="E138" s="14" t="s">
        <v>144</v>
      </c>
      <c r="F138" s="7"/>
      <c r="G138" s="37">
        <f>SUM(G139:G143)</f>
        <v>54430</v>
      </c>
      <c r="H138" s="37">
        <f t="shared" ref="H138:I138" si="91">SUM(H139:H143)</f>
        <v>0</v>
      </c>
      <c r="I138" s="37">
        <f t="shared" si="91"/>
        <v>54430</v>
      </c>
      <c r="J138" s="7"/>
      <c r="K138" s="38" t="e">
        <f t="shared" ref="K138:L138" ca="1" si="92">SUM(K139:K143)</f>
        <v>#NAME?</v>
      </c>
      <c r="L138" s="38">
        <f t="shared" si="92"/>
        <v>0</v>
      </c>
      <c r="M138" s="38" t="e">
        <f ca="1">L138+K138</f>
        <v>#NAME?</v>
      </c>
      <c r="N138" s="7"/>
      <c r="O138" s="39" t="e">
        <f ca="1">M138/I138</f>
        <v>#NAME?</v>
      </c>
      <c r="P138" s="7"/>
      <c r="Q138" s="7"/>
      <c r="R138" s="37">
        <f>SUM(R139:R143)</f>
        <v>22785.47</v>
      </c>
      <c r="S138" s="37">
        <f t="shared" ref="S138:T138" si="93">SUM(S139:S143)</f>
        <v>0</v>
      </c>
      <c r="T138" s="37">
        <f t="shared" si="93"/>
        <v>22785.47</v>
      </c>
      <c r="U138" s="7"/>
      <c r="V138" s="322"/>
      <c r="W138" s="322"/>
      <c r="X138" s="322"/>
    </row>
    <row r="139" spans="1:24" ht="11.25" customHeight="1">
      <c r="A139" s="49">
        <v>2200001</v>
      </c>
      <c r="B139" s="49"/>
      <c r="C139" s="22">
        <v>600</v>
      </c>
      <c r="D139" s="21"/>
      <c r="E139" s="21" t="s">
        <v>147</v>
      </c>
      <c r="F139" s="21"/>
      <c r="G139" s="58">
        <v>0</v>
      </c>
      <c r="H139" s="58">
        <v>0</v>
      </c>
      <c r="I139" s="58">
        <f>+G139+H139</f>
        <v>0</v>
      </c>
      <c r="J139" s="21"/>
      <c r="K139" s="23">
        <v>0</v>
      </c>
      <c r="L139" s="23">
        <v>0</v>
      </c>
      <c r="M139" s="23">
        <v>0</v>
      </c>
      <c r="N139" s="21"/>
      <c r="O139" s="59">
        <v>0</v>
      </c>
      <c r="P139" s="21"/>
      <c r="Q139" s="21"/>
      <c r="R139" s="58">
        <v>0</v>
      </c>
      <c r="S139" s="58">
        <v>0</v>
      </c>
      <c r="T139" s="58">
        <v>0</v>
      </c>
      <c r="U139" s="21"/>
      <c r="V139" s="23"/>
      <c r="W139" s="23"/>
      <c r="X139" s="23"/>
    </row>
    <row r="140" spans="1:24" ht="11.25" customHeight="1">
      <c r="A140" s="49">
        <v>2210001</v>
      </c>
      <c r="B140" s="49"/>
      <c r="C140" s="22">
        <v>602</v>
      </c>
      <c r="D140" s="21"/>
      <c r="E140" s="21" t="s">
        <v>148</v>
      </c>
      <c r="F140" s="21"/>
      <c r="G140" s="58">
        <v>45930</v>
      </c>
      <c r="H140" s="58">
        <v>0</v>
      </c>
      <c r="I140" s="58">
        <f t="shared" ref="I140:I143" si="94">+G140+H140</f>
        <v>45930</v>
      </c>
      <c r="J140" s="21"/>
      <c r="K140" s="23" t="e">
        <f ca="1">+Q140</f>
        <v>#NAME?</v>
      </c>
      <c r="L140" s="23">
        <v>0</v>
      </c>
      <c r="M140" s="23" t="e">
        <f ca="1">+K140+L140</f>
        <v>#NAME?</v>
      </c>
      <c r="N140" s="21"/>
      <c r="O140" s="59">
        <v>0</v>
      </c>
      <c r="P140" s="21"/>
      <c r="Q140" s="21" t="e" cm="1">
        <f t="array" aca="1" ref="Q140" ca="1">[1]!CN(211,,0,1,$M$2)</f>
        <v>#NAME?</v>
      </c>
      <c r="R140" s="58">
        <v>14285.47</v>
      </c>
      <c r="S140" s="58">
        <v>0</v>
      </c>
      <c r="T140" s="58">
        <f>+R140+S140</f>
        <v>14285.47</v>
      </c>
      <c r="U140" s="21"/>
      <c r="V140" s="23"/>
      <c r="W140" s="23"/>
      <c r="X140" s="23"/>
    </row>
    <row r="141" spans="1:24" ht="11.25" customHeight="1">
      <c r="A141" s="49">
        <v>2260001</v>
      </c>
      <c r="B141" s="49"/>
      <c r="C141" s="22">
        <v>606</v>
      </c>
      <c r="D141" s="21"/>
      <c r="E141" s="21" t="s">
        <v>43</v>
      </c>
      <c r="F141" s="21"/>
      <c r="G141" s="58">
        <v>2500</v>
      </c>
      <c r="H141" s="58">
        <v>0</v>
      </c>
      <c r="I141" s="58">
        <f t="shared" si="94"/>
        <v>2500</v>
      </c>
      <c r="J141" s="21"/>
      <c r="K141" s="23" t="e">
        <f ca="1">+Q141</f>
        <v>#NAME?</v>
      </c>
      <c r="L141" s="23">
        <v>0</v>
      </c>
      <c r="M141" s="23" t="e">
        <f ca="1">+K141+L141</f>
        <v>#NAME?</v>
      </c>
      <c r="N141" s="21"/>
      <c r="O141" s="59" t="e">
        <f t="shared" ref="O141:O142" ca="1" si="95">M141/I141</f>
        <v>#NAME?</v>
      </c>
      <c r="P141" s="21"/>
      <c r="Q141" s="21" t="e" cm="1">
        <f t="array" aca="1" ref="Q141" ca="1">[1]!CN(216,,0,1,$M$2)+[1]!CN(213,,0,1,$M$2)</f>
        <v>#NAME?</v>
      </c>
      <c r="R141" s="58">
        <v>2500</v>
      </c>
      <c r="S141" s="58">
        <v>0</v>
      </c>
      <c r="T141" s="58">
        <f>+R141+S141</f>
        <v>2500</v>
      </c>
      <c r="U141" s="21"/>
      <c r="V141" s="23"/>
      <c r="W141" s="23"/>
      <c r="X141" s="23"/>
    </row>
    <row r="142" spans="1:24" ht="11.25" customHeight="1">
      <c r="A142" s="49">
        <v>2270001</v>
      </c>
      <c r="B142" s="49"/>
      <c r="C142" s="22">
        <v>607</v>
      </c>
      <c r="D142" s="21"/>
      <c r="E142" s="21" t="s">
        <v>151</v>
      </c>
      <c r="F142" s="21"/>
      <c r="G142" s="58">
        <v>6000</v>
      </c>
      <c r="H142" s="58">
        <v>0</v>
      </c>
      <c r="I142" s="58">
        <f t="shared" si="94"/>
        <v>6000</v>
      </c>
      <c r="J142" s="21"/>
      <c r="K142" s="23">
        <v>0</v>
      </c>
      <c r="L142" s="23">
        <f>SUM(L143:L147)</f>
        <v>0</v>
      </c>
      <c r="M142" s="23">
        <f>L142+K142</f>
        <v>0</v>
      </c>
      <c r="N142" s="21"/>
      <c r="O142" s="59">
        <f t="shared" si="95"/>
        <v>0</v>
      </c>
      <c r="P142" s="21"/>
      <c r="Q142" s="21" t="e" cm="1">
        <f t="array" aca="1" ref="Q142" ca="1">[1]!CN(217,,0,1,$M$2)</f>
        <v>#NAME?</v>
      </c>
      <c r="R142" s="58">
        <v>6000</v>
      </c>
      <c r="S142" s="58">
        <v>0</v>
      </c>
      <c r="T142" s="58">
        <f>+R142+S142</f>
        <v>6000</v>
      </c>
      <c r="U142" s="21"/>
      <c r="V142" s="23"/>
      <c r="W142" s="23"/>
      <c r="X142" s="23"/>
    </row>
    <row r="143" spans="1:24" ht="11.25" customHeight="1">
      <c r="A143" s="49">
        <v>2290001</v>
      </c>
      <c r="B143" s="49"/>
      <c r="C143" s="22">
        <v>609</v>
      </c>
      <c r="D143" s="21"/>
      <c r="E143" s="21" t="s">
        <v>152</v>
      </c>
      <c r="F143" s="21"/>
      <c r="G143" s="58">
        <v>0</v>
      </c>
      <c r="H143" s="58">
        <v>0</v>
      </c>
      <c r="I143" s="58">
        <f t="shared" si="94"/>
        <v>0</v>
      </c>
      <c r="J143" s="21"/>
      <c r="K143" s="23">
        <v>0</v>
      </c>
      <c r="L143" s="23">
        <v>0</v>
      </c>
      <c r="M143" s="23">
        <v>0</v>
      </c>
      <c r="N143" s="21"/>
      <c r="O143" s="59">
        <v>0</v>
      </c>
      <c r="P143" s="21"/>
      <c r="Q143" s="21" t="e" cm="1">
        <f t="array" aca="1" ref="Q143" ca="1">[1]!CN(219,,0,1,$M$2)</f>
        <v>#NAME?</v>
      </c>
      <c r="R143" s="58">
        <v>0</v>
      </c>
      <c r="S143" s="58">
        <v>0</v>
      </c>
      <c r="T143" s="58">
        <v>0</v>
      </c>
      <c r="U143" s="21"/>
      <c r="V143" s="23"/>
      <c r="W143" s="23"/>
      <c r="X143" s="23"/>
    </row>
    <row r="144" spans="1:24" ht="12.75" customHeight="1">
      <c r="A144" s="49"/>
      <c r="B144" s="49"/>
      <c r="C144" s="8"/>
      <c r="D144" s="7"/>
      <c r="E144" s="7"/>
      <c r="F144" s="7"/>
      <c r="G144" s="43"/>
      <c r="H144" s="43"/>
      <c r="I144" s="43"/>
      <c r="J144" s="7"/>
      <c r="K144" s="44"/>
      <c r="L144" s="44"/>
      <c r="M144" s="44"/>
      <c r="N144" s="7"/>
      <c r="O144" s="45"/>
      <c r="P144" s="7"/>
      <c r="Q144" s="7"/>
      <c r="R144" s="43"/>
      <c r="S144" s="43"/>
      <c r="T144" s="43"/>
      <c r="U144" s="7"/>
      <c r="V144" s="44"/>
      <c r="W144" s="44"/>
      <c r="X144" s="44"/>
    </row>
    <row r="145" spans="1:24" ht="12.75" customHeight="1">
      <c r="A145" s="49"/>
      <c r="B145" s="49"/>
      <c r="C145" s="36">
        <v>61</v>
      </c>
      <c r="D145" s="7"/>
      <c r="E145" s="14" t="s">
        <v>153</v>
      </c>
      <c r="F145" s="7"/>
      <c r="G145" s="37">
        <f>+G146</f>
        <v>2500</v>
      </c>
      <c r="H145" s="37">
        <v>0</v>
      </c>
      <c r="I145" s="37">
        <f>+I146</f>
        <v>2500</v>
      </c>
      <c r="J145" s="7"/>
      <c r="K145" s="38" t="e">
        <f ca="1">SUM(K146)</f>
        <v>#NAME?</v>
      </c>
      <c r="L145" s="38">
        <f>SUM(L146:L150)</f>
        <v>0</v>
      </c>
      <c r="M145" s="38" t="e">
        <f t="shared" ref="M145:M146" ca="1" si="96">L145+K145</f>
        <v>#NAME?</v>
      </c>
      <c r="N145" s="7"/>
      <c r="O145" s="39" t="e">
        <f t="shared" ref="O145:O146" ca="1" si="97">M145/I145</f>
        <v>#NAME?</v>
      </c>
      <c r="P145" s="7"/>
      <c r="Q145" s="7"/>
      <c r="R145" s="37">
        <f>R146</f>
        <v>2500</v>
      </c>
      <c r="S145" s="37">
        <v>0</v>
      </c>
      <c r="T145" s="37">
        <f>R145</f>
        <v>2500</v>
      </c>
      <c r="U145" s="7"/>
      <c r="V145" s="38"/>
      <c r="W145" s="38"/>
      <c r="X145" s="38"/>
    </row>
    <row r="146" spans="1:24" ht="12.75" customHeight="1">
      <c r="A146" s="49">
        <v>2150001</v>
      </c>
      <c r="B146" s="49"/>
      <c r="C146" s="22">
        <v>615</v>
      </c>
      <c r="D146" s="21"/>
      <c r="E146" s="21" t="s">
        <v>154</v>
      </c>
      <c r="F146" s="21"/>
      <c r="G146" s="58">
        <v>2500</v>
      </c>
      <c r="H146" s="58">
        <v>0</v>
      </c>
      <c r="I146" s="58">
        <f>+G146+H146</f>
        <v>2500</v>
      </c>
      <c r="J146" s="21"/>
      <c r="K146" s="23" t="e">
        <f ca="1">+Q146</f>
        <v>#NAME?</v>
      </c>
      <c r="L146" s="23">
        <v>0</v>
      </c>
      <c r="M146" s="23" t="e">
        <f t="shared" ca="1" si="96"/>
        <v>#NAME?</v>
      </c>
      <c r="N146" s="21"/>
      <c r="O146" s="59" t="e">
        <f t="shared" ca="1" si="97"/>
        <v>#NAME?</v>
      </c>
      <c r="P146" s="21"/>
      <c r="Q146" s="21" t="e" cm="1">
        <f t="array" aca="1" ref="Q146" ca="1">[1]!CN(206,,0,1,$M$2)</f>
        <v>#NAME?</v>
      </c>
      <c r="R146" s="58">
        <v>2500</v>
      </c>
      <c r="S146" s="58">
        <v>0</v>
      </c>
      <c r="T146" s="58">
        <f>+R146+S146</f>
        <v>2500</v>
      </c>
      <c r="U146" s="21"/>
      <c r="V146" s="23"/>
      <c r="W146" s="23"/>
      <c r="X146" s="23"/>
    </row>
    <row r="147" spans="1:24" ht="13.5" customHeight="1" thickBot="1">
      <c r="A147" s="7"/>
      <c r="B147" s="7"/>
      <c r="C147" s="8"/>
      <c r="D147" s="7"/>
      <c r="E147" s="7"/>
      <c r="F147" s="7"/>
      <c r="G147" s="44"/>
      <c r="H147" s="44"/>
      <c r="I147" s="44"/>
      <c r="J147" s="7"/>
      <c r="K147" s="44"/>
      <c r="L147" s="44"/>
      <c r="M147" s="44"/>
      <c r="N147" s="7"/>
      <c r="O147" s="73"/>
      <c r="P147" s="7"/>
      <c r="Q147" s="7"/>
      <c r="R147" s="44"/>
      <c r="S147" s="44"/>
      <c r="T147" s="44"/>
      <c r="U147" s="7"/>
      <c r="V147" s="319"/>
      <c r="W147" s="319"/>
      <c r="X147" s="319"/>
    </row>
    <row r="148" spans="1:24" ht="17.25" customHeight="1" thickTop="1" thickBot="1">
      <c r="A148" s="26"/>
      <c r="B148" s="26"/>
      <c r="C148" s="334">
        <v>8</v>
      </c>
      <c r="D148" s="28"/>
      <c r="E148" s="335" t="s">
        <v>145</v>
      </c>
      <c r="F148" s="28"/>
      <c r="G148" s="68">
        <v>0</v>
      </c>
      <c r="H148" s="68">
        <v>0</v>
      </c>
      <c r="I148" s="30">
        <v>0</v>
      </c>
      <c r="J148" s="28"/>
      <c r="K148" s="68">
        <v>0</v>
      </c>
      <c r="L148" s="68">
        <v>0</v>
      </c>
      <c r="M148" s="30">
        <v>0</v>
      </c>
      <c r="N148" s="28"/>
      <c r="O148" s="102">
        <v>0</v>
      </c>
      <c r="P148" s="28"/>
      <c r="Q148" s="35"/>
      <c r="R148" s="68">
        <v>0</v>
      </c>
      <c r="S148" s="68">
        <v>0</v>
      </c>
      <c r="T148" s="30">
        <v>0</v>
      </c>
      <c r="U148" s="28"/>
      <c r="V148" s="323"/>
      <c r="W148" s="323"/>
      <c r="X148" s="318"/>
    </row>
    <row r="149" spans="1:24" ht="19.5" customHeight="1" thickTop="1">
      <c r="A149" s="7"/>
      <c r="B149" s="7"/>
      <c r="C149" s="8"/>
      <c r="D149" s="7"/>
      <c r="E149" s="7"/>
      <c r="F149" s="7"/>
      <c r="G149" s="44"/>
      <c r="H149" s="44"/>
      <c r="I149" s="44"/>
      <c r="J149" s="7"/>
      <c r="K149" s="44"/>
      <c r="L149" s="44"/>
      <c r="M149" s="44"/>
      <c r="N149" s="7"/>
      <c r="O149" s="73"/>
      <c r="P149" s="7"/>
      <c r="Q149" s="7"/>
      <c r="R149" s="44"/>
      <c r="S149" s="44"/>
      <c r="T149" s="44"/>
      <c r="U149" s="7"/>
      <c r="V149" s="319"/>
      <c r="W149" s="319"/>
      <c r="X149" s="319"/>
    </row>
    <row r="150" spans="1:24" ht="12.75" customHeight="1">
      <c r="A150" s="11">
        <v>2510001</v>
      </c>
      <c r="B150" s="11"/>
      <c r="C150" s="36">
        <v>80</v>
      </c>
      <c r="D150" s="14"/>
      <c r="E150" s="14" t="s">
        <v>156</v>
      </c>
      <c r="F150" s="14"/>
      <c r="G150" s="37">
        <v>0</v>
      </c>
      <c r="H150" s="37">
        <v>0</v>
      </c>
      <c r="I150" s="37">
        <v>0</v>
      </c>
      <c r="J150" s="14"/>
      <c r="K150" s="37">
        <v>0</v>
      </c>
      <c r="L150" s="37">
        <v>0</v>
      </c>
      <c r="M150" s="37">
        <f t="shared" ref="M150:M159" si="98">SUM(K150:L150)</f>
        <v>0</v>
      </c>
      <c r="N150" s="14"/>
      <c r="O150" s="294">
        <v>0</v>
      </c>
      <c r="P150" s="14"/>
      <c r="Q150" s="14"/>
      <c r="R150" s="37">
        <v>0</v>
      </c>
      <c r="S150" s="37">
        <v>0</v>
      </c>
      <c r="T150" s="37">
        <v>0</v>
      </c>
      <c r="U150" s="14"/>
      <c r="V150" s="322"/>
      <c r="W150" s="322"/>
      <c r="X150" s="322"/>
    </row>
    <row r="151" spans="1:24" ht="12.75" customHeight="1">
      <c r="A151" s="11"/>
      <c r="B151" s="11"/>
      <c r="C151" s="36">
        <v>81</v>
      </c>
      <c r="D151" s="14"/>
      <c r="E151" s="14" t="s">
        <v>157</v>
      </c>
      <c r="F151" s="14"/>
      <c r="G151" s="37">
        <v>0</v>
      </c>
      <c r="H151" s="37">
        <v>0</v>
      </c>
      <c r="I151" s="37">
        <v>0</v>
      </c>
      <c r="J151" s="14"/>
      <c r="K151" s="37">
        <v>0</v>
      </c>
      <c r="L151" s="37">
        <v>0</v>
      </c>
      <c r="M151" s="37">
        <f t="shared" si="98"/>
        <v>0</v>
      </c>
      <c r="N151" s="14"/>
      <c r="O151" s="294">
        <v>0</v>
      </c>
      <c r="P151" s="14"/>
      <c r="Q151" s="14"/>
      <c r="R151" s="37">
        <v>0</v>
      </c>
      <c r="S151" s="37">
        <v>0</v>
      </c>
      <c r="T151" s="37">
        <v>0</v>
      </c>
      <c r="U151" s="14"/>
      <c r="V151" s="322"/>
      <c r="W151" s="322"/>
      <c r="X151" s="322"/>
    </row>
    <row r="152" spans="1:24" ht="11.25" customHeight="1">
      <c r="A152" s="49">
        <v>5400001</v>
      </c>
      <c r="B152" s="49"/>
      <c r="C152" s="22" t="s">
        <v>158</v>
      </c>
      <c r="D152" s="21"/>
      <c r="E152" s="21" t="s">
        <v>159</v>
      </c>
      <c r="F152" s="21"/>
      <c r="G152" s="58">
        <v>0</v>
      </c>
      <c r="H152" s="58">
        <v>0</v>
      </c>
      <c r="I152" s="58">
        <v>0</v>
      </c>
      <c r="J152" s="21"/>
      <c r="K152" s="58">
        <v>0</v>
      </c>
      <c r="L152" s="58">
        <v>0</v>
      </c>
      <c r="M152" s="58">
        <f t="shared" si="98"/>
        <v>0</v>
      </c>
      <c r="N152" s="21"/>
      <c r="O152" s="295">
        <v>0</v>
      </c>
      <c r="P152" s="21"/>
      <c r="Q152" s="21"/>
      <c r="R152" s="58">
        <v>0</v>
      </c>
      <c r="S152" s="58">
        <v>0</v>
      </c>
      <c r="T152" s="58">
        <v>0</v>
      </c>
      <c r="U152" s="21"/>
      <c r="V152" s="317"/>
      <c r="W152" s="317"/>
      <c r="X152" s="317"/>
    </row>
    <row r="153" spans="1:24" ht="11.25" customHeight="1">
      <c r="A153" s="49">
        <v>2510002</v>
      </c>
      <c r="B153" s="49"/>
      <c r="C153" s="22" t="s">
        <v>161</v>
      </c>
      <c r="D153" s="21"/>
      <c r="E153" s="21" t="s">
        <v>162</v>
      </c>
      <c r="F153" s="21"/>
      <c r="G153" s="58">
        <v>0</v>
      </c>
      <c r="H153" s="58">
        <v>0</v>
      </c>
      <c r="I153" s="58">
        <v>0</v>
      </c>
      <c r="J153" s="21"/>
      <c r="K153" s="58">
        <v>0</v>
      </c>
      <c r="L153" s="58">
        <v>0</v>
      </c>
      <c r="M153" s="58">
        <f t="shared" si="98"/>
        <v>0</v>
      </c>
      <c r="N153" s="21"/>
      <c r="O153" s="295">
        <v>0</v>
      </c>
      <c r="P153" s="21"/>
      <c r="Q153" s="21"/>
      <c r="R153" s="58">
        <v>0</v>
      </c>
      <c r="S153" s="58">
        <v>0</v>
      </c>
      <c r="T153" s="58">
        <v>0</v>
      </c>
      <c r="U153" s="21"/>
      <c r="V153" s="317"/>
      <c r="W153" s="317"/>
      <c r="X153" s="317"/>
    </row>
    <row r="154" spans="1:24" ht="12.75" customHeight="1">
      <c r="A154" s="11"/>
      <c r="B154" s="11"/>
      <c r="C154" s="36">
        <v>82</v>
      </c>
      <c r="D154" s="14"/>
      <c r="E154" s="14" t="s">
        <v>163</v>
      </c>
      <c r="F154" s="14"/>
      <c r="G154" s="37">
        <v>0</v>
      </c>
      <c r="H154" s="37">
        <v>0</v>
      </c>
      <c r="I154" s="37">
        <v>0</v>
      </c>
      <c r="J154" s="14"/>
      <c r="K154" s="37">
        <v>0</v>
      </c>
      <c r="L154" s="37">
        <v>0</v>
      </c>
      <c r="M154" s="37">
        <f t="shared" si="98"/>
        <v>0</v>
      </c>
      <c r="N154" s="14"/>
      <c r="O154" s="294">
        <v>0</v>
      </c>
      <c r="P154" s="14"/>
      <c r="Q154" s="14"/>
      <c r="R154" s="37">
        <v>0</v>
      </c>
      <c r="S154" s="37">
        <v>0</v>
      </c>
      <c r="T154" s="37">
        <v>0</v>
      </c>
      <c r="U154" s="14"/>
      <c r="V154" s="322"/>
      <c r="W154" s="322"/>
      <c r="X154" s="322"/>
    </row>
    <row r="155" spans="1:24" ht="11.25" customHeight="1">
      <c r="A155" s="49">
        <v>5420001</v>
      </c>
      <c r="B155" s="49"/>
      <c r="C155" s="22" t="s">
        <v>166</v>
      </c>
      <c r="D155" s="21"/>
      <c r="E155" s="21" t="s">
        <v>167</v>
      </c>
      <c r="F155" s="21"/>
      <c r="G155" s="58">
        <v>0</v>
      </c>
      <c r="H155" s="58">
        <v>0</v>
      </c>
      <c r="I155" s="58">
        <v>0</v>
      </c>
      <c r="J155" s="21"/>
      <c r="K155" s="58">
        <v>0</v>
      </c>
      <c r="L155" s="58">
        <v>0</v>
      </c>
      <c r="M155" s="58">
        <f t="shared" si="98"/>
        <v>0</v>
      </c>
      <c r="N155" s="21"/>
      <c r="O155" s="295">
        <v>0</v>
      </c>
      <c r="P155" s="21"/>
      <c r="Q155" s="21"/>
      <c r="R155" s="58">
        <v>0</v>
      </c>
      <c r="S155" s="58">
        <v>0</v>
      </c>
      <c r="T155" s="58">
        <v>0</v>
      </c>
      <c r="U155" s="21"/>
      <c r="V155" s="317"/>
      <c r="W155" s="317"/>
      <c r="X155" s="317"/>
    </row>
    <row r="156" spans="1:24" ht="11.25" customHeight="1">
      <c r="A156" s="49">
        <v>2520001</v>
      </c>
      <c r="B156" s="49"/>
      <c r="C156" s="22" t="s">
        <v>168</v>
      </c>
      <c r="D156" s="21"/>
      <c r="E156" s="21" t="s">
        <v>162</v>
      </c>
      <c r="F156" s="21"/>
      <c r="G156" s="58">
        <v>0</v>
      </c>
      <c r="H156" s="58">
        <v>0</v>
      </c>
      <c r="I156" s="58">
        <v>0</v>
      </c>
      <c r="J156" s="21"/>
      <c r="K156" s="58">
        <v>0</v>
      </c>
      <c r="L156" s="58">
        <v>0</v>
      </c>
      <c r="M156" s="58">
        <f t="shared" si="98"/>
        <v>0</v>
      </c>
      <c r="N156" s="21"/>
      <c r="O156" s="295">
        <v>0</v>
      </c>
      <c r="P156" s="21"/>
      <c r="Q156" s="21"/>
      <c r="R156" s="58">
        <v>0</v>
      </c>
      <c r="S156" s="58">
        <v>0</v>
      </c>
      <c r="T156" s="58">
        <v>0</v>
      </c>
      <c r="U156" s="21"/>
      <c r="V156" s="317"/>
      <c r="W156" s="317"/>
      <c r="X156" s="317"/>
    </row>
    <row r="157" spans="1:24" ht="12.75" customHeight="1">
      <c r="A157" s="11"/>
      <c r="B157" s="11"/>
      <c r="C157" s="36">
        <v>83</v>
      </c>
      <c r="D157" s="14"/>
      <c r="E157" s="14" t="s">
        <v>169</v>
      </c>
      <c r="F157" s="14"/>
      <c r="G157" s="37">
        <v>0</v>
      </c>
      <c r="H157" s="37">
        <v>0</v>
      </c>
      <c r="I157" s="37">
        <v>0</v>
      </c>
      <c r="J157" s="14"/>
      <c r="K157" s="37">
        <v>0</v>
      </c>
      <c r="L157" s="37">
        <v>0</v>
      </c>
      <c r="M157" s="37">
        <f t="shared" si="98"/>
        <v>0</v>
      </c>
      <c r="N157" s="14"/>
      <c r="O157" s="294">
        <v>0</v>
      </c>
      <c r="P157" s="14"/>
      <c r="Q157" s="14"/>
      <c r="R157" s="37">
        <v>0</v>
      </c>
      <c r="S157" s="37">
        <v>0</v>
      </c>
      <c r="T157" s="37">
        <v>0</v>
      </c>
      <c r="U157" s="14"/>
      <c r="V157" s="322"/>
      <c r="W157" s="322"/>
      <c r="X157" s="322"/>
    </row>
    <row r="158" spans="1:24" ht="11.25" customHeight="1">
      <c r="A158" s="49">
        <v>5600001</v>
      </c>
      <c r="B158" s="49"/>
      <c r="C158" s="22" t="s">
        <v>170</v>
      </c>
      <c r="D158" s="21"/>
      <c r="E158" s="21" t="s">
        <v>167</v>
      </c>
      <c r="F158" s="21"/>
      <c r="G158" s="58">
        <v>0</v>
      </c>
      <c r="H158" s="58">
        <v>0</v>
      </c>
      <c r="I158" s="58">
        <v>0</v>
      </c>
      <c r="J158" s="21"/>
      <c r="K158" s="58">
        <v>0</v>
      </c>
      <c r="L158" s="58">
        <v>0</v>
      </c>
      <c r="M158" s="58">
        <f t="shared" si="98"/>
        <v>0</v>
      </c>
      <c r="N158" s="21"/>
      <c r="O158" s="295">
        <v>0</v>
      </c>
      <c r="P158" s="21"/>
      <c r="Q158" s="21"/>
      <c r="R158" s="58">
        <v>0</v>
      </c>
      <c r="S158" s="58">
        <v>0</v>
      </c>
      <c r="T158" s="58">
        <v>0</v>
      </c>
      <c r="U158" s="21"/>
      <c r="V158" s="317"/>
      <c r="W158" s="317"/>
      <c r="X158" s="317"/>
    </row>
    <row r="159" spans="1:24" ht="11.25" customHeight="1">
      <c r="A159" s="49">
        <v>2600001</v>
      </c>
      <c r="B159" s="49"/>
      <c r="C159" s="22" t="s">
        <v>171</v>
      </c>
      <c r="D159" s="21"/>
      <c r="E159" s="21" t="s">
        <v>162</v>
      </c>
      <c r="F159" s="21"/>
      <c r="G159" s="58">
        <v>0</v>
      </c>
      <c r="H159" s="58">
        <v>0</v>
      </c>
      <c r="I159" s="58">
        <v>0</v>
      </c>
      <c r="J159" s="21"/>
      <c r="K159" s="58">
        <v>0</v>
      </c>
      <c r="L159" s="58">
        <v>0</v>
      </c>
      <c r="M159" s="58">
        <f t="shared" si="98"/>
        <v>0</v>
      </c>
      <c r="N159" s="21"/>
      <c r="O159" s="295">
        <v>0</v>
      </c>
      <c r="P159" s="21"/>
      <c r="Q159" s="21"/>
      <c r="R159" s="58">
        <v>0</v>
      </c>
      <c r="S159" s="58">
        <v>0</v>
      </c>
      <c r="T159" s="58">
        <v>0</v>
      </c>
      <c r="U159" s="21"/>
      <c r="V159" s="317"/>
      <c r="W159" s="317"/>
      <c r="X159" s="317"/>
    </row>
    <row r="160" spans="1:24" ht="12" customHeight="1" thickBot="1">
      <c r="A160" s="7"/>
      <c r="B160" s="7"/>
      <c r="C160" s="8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9"/>
      <c r="P160" s="7"/>
      <c r="Q160" s="7"/>
      <c r="R160" s="7"/>
      <c r="S160" s="7"/>
      <c r="T160" s="7"/>
      <c r="U160" s="7"/>
      <c r="V160" s="321"/>
      <c r="W160" s="321"/>
      <c r="X160" s="321"/>
    </row>
    <row r="161" spans="1:24" ht="17.25" customHeight="1" thickTop="1" thickBot="1">
      <c r="A161" s="26"/>
      <c r="B161" s="26"/>
      <c r="C161" s="334">
        <v>9</v>
      </c>
      <c r="D161" s="28"/>
      <c r="E161" s="335" t="s">
        <v>146</v>
      </c>
      <c r="F161" s="28"/>
      <c r="G161" s="68">
        <v>0</v>
      </c>
      <c r="H161" s="68">
        <v>0</v>
      </c>
      <c r="I161" s="30">
        <v>0</v>
      </c>
      <c r="J161" s="28"/>
      <c r="K161" s="68">
        <f t="shared" ref="K161:M161" si="99">K163</f>
        <v>0</v>
      </c>
      <c r="L161" s="68">
        <f t="shared" si="99"/>
        <v>0</v>
      </c>
      <c r="M161" s="30">
        <f t="shared" si="99"/>
        <v>0</v>
      </c>
      <c r="N161" s="28"/>
      <c r="O161" s="102">
        <v>0</v>
      </c>
      <c r="P161" s="28"/>
      <c r="Q161" s="35"/>
      <c r="R161" s="68">
        <v>0</v>
      </c>
      <c r="S161" s="68">
        <v>0</v>
      </c>
      <c r="T161" s="30">
        <v>0</v>
      </c>
      <c r="U161" s="28"/>
      <c r="V161" s="323"/>
      <c r="W161" s="323"/>
      <c r="X161" s="318"/>
    </row>
    <row r="162" spans="1:24" ht="13.5" customHeight="1" thickTop="1">
      <c r="A162" s="7"/>
      <c r="B162" s="7"/>
      <c r="C162" s="8"/>
      <c r="D162" s="7"/>
      <c r="E162" s="7"/>
      <c r="F162" s="7"/>
      <c r="G162" s="44"/>
      <c r="H162" s="44"/>
      <c r="I162" s="44"/>
      <c r="J162" s="7"/>
      <c r="K162" s="44"/>
      <c r="L162" s="44"/>
      <c r="M162" s="44"/>
      <c r="N162" s="7"/>
      <c r="O162" s="73"/>
      <c r="P162" s="7"/>
      <c r="Q162" s="7"/>
      <c r="R162" s="44"/>
      <c r="S162" s="44"/>
      <c r="T162" s="44"/>
      <c r="U162" s="7"/>
      <c r="V162" s="319"/>
      <c r="W162" s="319"/>
      <c r="X162" s="319"/>
    </row>
    <row r="163" spans="1:24" ht="12.75" customHeight="1">
      <c r="A163" s="11"/>
      <c r="B163" s="11"/>
      <c r="C163" s="36">
        <v>91</v>
      </c>
      <c r="D163" s="14"/>
      <c r="E163" s="14" t="s">
        <v>172</v>
      </c>
      <c r="F163" s="14"/>
      <c r="G163" s="37">
        <v>0</v>
      </c>
      <c r="H163" s="37">
        <v>0</v>
      </c>
      <c r="I163" s="37">
        <v>0</v>
      </c>
      <c r="J163" s="14"/>
      <c r="K163" s="37">
        <f t="shared" ref="K163:L163" si="100">SUM(K164)</f>
        <v>0</v>
      </c>
      <c r="L163" s="37">
        <f t="shared" si="100"/>
        <v>0</v>
      </c>
      <c r="M163" s="37">
        <f t="shared" ref="M163:M166" si="101">SUM(K163:L163)</f>
        <v>0</v>
      </c>
      <c r="N163" s="14"/>
      <c r="O163" s="294">
        <v>0</v>
      </c>
      <c r="P163" s="14"/>
      <c r="Q163" s="14"/>
      <c r="R163" s="37">
        <v>0</v>
      </c>
      <c r="S163" s="37">
        <v>0</v>
      </c>
      <c r="T163" s="37">
        <v>0</v>
      </c>
      <c r="U163" s="14"/>
      <c r="V163" s="322"/>
      <c r="W163" s="322"/>
      <c r="X163" s="322"/>
    </row>
    <row r="164" spans="1:24" ht="12.75" customHeight="1">
      <c r="A164" s="49"/>
      <c r="B164" s="49"/>
      <c r="C164" s="22" t="s">
        <v>174</v>
      </c>
      <c r="D164" s="21"/>
      <c r="E164" s="21" t="s">
        <v>175</v>
      </c>
      <c r="F164" s="21"/>
      <c r="G164" s="58">
        <v>0</v>
      </c>
      <c r="H164" s="58">
        <v>0</v>
      </c>
      <c r="I164" s="58">
        <v>0</v>
      </c>
      <c r="J164" s="21"/>
      <c r="K164" s="58">
        <v>0</v>
      </c>
      <c r="L164" s="58">
        <v>0</v>
      </c>
      <c r="M164" s="58">
        <f t="shared" si="101"/>
        <v>0</v>
      </c>
      <c r="N164" s="21"/>
      <c r="O164" s="295">
        <v>0</v>
      </c>
      <c r="P164" s="21"/>
      <c r="Q164" s="21"/>
      <c r="R164" s="58">
        <v>0</v>
      </c>
      <c r="S164" s="58">
        <v>0</v>
      </c>
      <c r="T164" s="58">
        <v>0</v>
      </c>
      <c r="U164" s="21"/>
      <c r="V164" s="317"/>
      <c r="W164" s="317"/>
      <c r="X164" s="317"/>
    </row>
    <row r="165" spans="1:24" ht="11.25" customHeight="1">
      <c r="A165" s="49">
        <v>5200001</v>
      </c>
      <c r="B165" s="49"/>
      <c r="C165" s="22" t="s">
        <v>176</v>
      </c>
      <c r="D165" s="21"/>
      <c r="E165" s="21" t="s">
        <v>167</v>
      </c>
      <c r="F165" s="21"/>
      <c r="G165" s="58">
        <v>0</v>
      </c>
      <c r="H165" s="58">
        <v>0</v>
      </c>
      <c r="I165" s="58">
        <v>0</v>
      </c>
      <c r="J165" s="21"/>
      <c r="K165" s="58">
        <v>0</v>
      </c>
      <c r="L165" s="58">
        <v>0</v>
      </c>
      <c r="M165" s="58">
        <f t="shared" si="101"/>
        <v>0</v>
      </c>
      <c r="N165" s="21"/>
      <c r="O165" s="295">
        <v>0</v>
      </c>
      <c r="P165" s="21"/>
      <c r="Q165" s="21"/>
      <c r="R165" s="58">
        <v>0</v>
      </c>
      <c r="S165" s="58">
        <v>0</v>
      </c>
      <c r="T165" s="58">
        <v>0</v>
      </c>
      <c r="U165" s="21"/>
      <c r="V165" s="317"/>
      <c r="W165" s="317"/>
      <c r="X165" s="317"/>
    </row>
    <row r="166" spans="1:24" ht="11.25" customHeight="1">
      <c r="A166" s="49">
        <v>1700001</v>
      </c>
      <c r="B166" s="49"/>
      <c r="C166" s="22" t="s">
        <v>177</v>
      </c>
      <c r="D166" s="21"/>
      <c r="E166" s="21" t="s">
        <v>162</v>
      </c>
      <c r="F166" s="21"/>
      <c r="G166" s="58">
        <v>0</v>
      </c>
      <c r="H166" s="58">
        <v>0</v>
      </c>
      <c r="I166" s="58">
        <v>0</v>
      </c>
      <c r="J166" s="21"/>
      <c r="K166" s="58">
        <v>0</v>
      </c>
      <c r="L166" s="58">
        <v>0</v>
      </c>
      <c r="M166" s="58">
        <f t="shared" si="101"/>
        <v>0</v>
      </c>
      <c r="N166" s="21"/>
      <c r="O166" s="295">
        <v>0</v>
      </c>
      <c r="P166" s="21"/>
      <c r="Q166" s="21"/>
      <c r="R166" s="58">
        <v>0</v>
      </c>
      <c r="S166" s="58">
        <v>0</v>
      </c>
      <c r="T166" s="58">
        <v>0</v>
      </c>
      <c r="U166" s="21"/>
      <c r="V166" s="317"/>
      <c r="W166" s="317"/>
      <c r="X166" s="317"/>
    </row>
    <row r="167" spans="1:24" ht="11.25" customHeight="1">
      <c r="A167" s="7"/>
      <c r="B167" s="7"/>
      <c r="C167" s="8"/>
      <c r="D167" s="7"/>
      <c r="E167" s="7"/>
      <c r="F167" s="7"/>
      <c r="G167" s="106"/>
      <c r="H167" s="106"/>
      <c r="I167" s="4"/>
      <c r="J167" s="7"/>
      <c r="K167" s="4"/>
      <c r="L167" s="4"/>
      <c r="M167" s="4"/>
      <c r="N167" s="7"/>
      <c r="O167" s="6"/>
      <c r="P167" s="7"/>
      <c r="Q167" s="7"/>
      <c r="R167" s="106"/>
      <c r="S167" s="106"/>
      <c r="T167" s="4"/>
      <c r="U167" s="7"/>
      <c r="V167" s="4"/>
      <c r="W167" s="4"/>
      <c r="X167" s="4"/>
    </row>
    <row r="168" spans="1:24" ht="212.25" hidden="1" customHeight="1">
      <c r="A168" s="7"/>
      <c r="B168" s="7"/>
      <c r="C168" s="8"/>
      <c r="D168" s="7"/>
      <c r="E168" s="7"/>
      <c r="F168" s="7"/>
      <c r="G168" s="106"/>
      <c r="H168" s="106"/>
      <c r="I168" s="4"/>
      <c r="J168" s="7"/>
      <c r="K168" s="4"/>
      <c r="L168" s="4"/>
      <c r="M168" s="4"/>
      <c r="N168" s="7"/>
      <c r="O168" s="6"/>
      <c r="P168" s="7"/>
      <c r="Q168" s="7"/>
      <c r="R168" s="106"/>
      <c r="S168" s="106"/>
      <c r="T168" s="4"/>
      <c r="U168" s="7"/>
      <c r="V168" s="4"/>
      <c r="W168" s="4"/>
      <c r="X168" s="4"/>
    </row>
    <row r="169" spans="1:24" ht="12.75" customHeight="1">
      <c r="A169" s="7"/>
      <c r="B169" s="7"/>
      <c r="C169" s="8"/>
      <c r="D169" s="7"/>
      <c r="E169" s="7"/>
      <c r="F169" s="7"/>
      <c r="G169" s="375" t="s">
        <v>178</v>
      </c>
      <c r="H169" s="375"/>
      <c r="I169" s="375"/>
      <c r="J169" s="375"/>
      <c r="K169" s="375"/>
      <c r="L169" s="107"/>
      <c r="M169" s="107"/>
      <c r="N169" s="7"/>
      <c r="O169" s="108"/>
      <c r="P169" s="7"/>
      <c r="Q169" s="7"/>
      <c r="R169" s="375"/>
      <c r="S169" s="375"/>
      <c r="T169" s="375"/>
      <c r="U169" s="375"/>
      <c r="V169" s="375"/>
      <c r="W169" s="107"/>
      <c r="X169" s="107"/>
    </row>
    <row r="170" spans="1:24" ht="6" customHeight="1" thickBot="1">
      <c r="A170" s="7"/>
      <c r="B170" s="7"/>
      <c r="C170" s="8"/>
      <c r="D170" s="7"/>
      <c r="E170" s="7"/>
      <c r="F170" s="7"/>
      <c r="G170" s="106"/>
      <c r="H170" s="106"/>
      <c r="I170" s="4"/>
      <c r="J170" s="7"/>
      <c r="K170" s="107"/>
      <c r="L170" s="107"/>
      <c r="M170" s="107"/>
      <c r="N170" s="7"/>
      <c r="O170" s="108"/>
      <c r="P170" s="7"/>
      <c r="Q170" s="7"/>
      <c r="R170" s="106"/>
      <c r="S170" s="106"/>
      <c r="T170" s="4"/>
      <c r="U170" s="7"/>
      <c r="V170" s="107"/>
      <c r="W170" s="107"/>
      <c r="X170" s="107"/>
    </row>
    <row r="171" spans="1:24" ht="12.75" customHeight="1">
      <c r="A171" s="396" t="s">
        <v>1</v>
      </c>
      <c r="B171" s="10"/>
      <c r="C171" s="336" t="s">
        <v>2</v>
      </c>
      <c r="D171" s="11"/>
      <c r="E171" s="414" t="s">
        <v>179</v>
      </c>
      <c r="F171" s="11"/>
      <c r="G171" s="376" t="s">
        <v>454</v>
      </c>
      <c r="H171" s="377"/>
      <c r="I171" s="378"/>
      <c r="J171" s="11"/>
      <c r="K171" s="400" t="s">
        <v>444</v>
      </c>
      <c r="L171" s="377"/>
      <c r="M171" s="378"/>
      <c r="N171" s="11"/>
      <c r="O171" s="12" t="s">
        <v>5</v>
      </c>
      <c r="P171" s="11"/>
      <c r="Q171" s="14"/>
      <c r="R171" s="376" t="s">
        <v>445</v>
      </c>
      <c r="S171" s="377"/>
      <c r="T171" s="378"/>
      <c r="U171" s="11"/>
      <c r="V171" s="382"/>
      <c r="W171" s="383"/>
      <c r="X171" s="383"/>
    </row>
    <row r="172" spans="1:24" ht="27" customHeight="1" thickBot="1">
      <c r="A172" s="397"/>
      <c r="B172" s="10"/>
      <c r="C172" s="333"/>
      <c r="D172" s="14"/>
      <c r="E172" s="402"/>
      <c r="F172" s="14"/>
      <c r="G172" s="379"/>
      <c r="H172" s="380"/>
      <c r="I172" s="381"/>
      <c r="J172" s="14"/>
      <c r="K172" s="379"/>
      <c r="L172" s="380"/>
      <c r="M172" s="381"/>
      <c r="N172" s="14"/>
      <c r="O172" s="16" t="s">
        <v>443</v>
      </c>
      <c r="P172" s="14"/>
      <c r="Q172" s="14"/>
      <c r="R172" s="379"/>
      <c r="S172" s="380"/>
      <c r="T172" s="381"/>
      <c r="U172" s="14"/>
      <c r="V172" s="383"/>
      <c r="W172" s="383"/>
      <c r="X172" s="383"/>
    </row>
    <row r="173" spans="1:24" ht="15.75" customHeight="1" thickBot="1">
      <c r="A173" s="21"/>
      <c r="B173" s="21"/>
      <c r="C173" s="22"/>
      <c r="D173" s="21"/>
      <c r="E173" s="21"/>
      <c r="F173" s="21"/>
      <c r="G173" s="23" t="s">
        <v>6</v>
      </c>
      <c r="H173" s="23" t="s">
        <v>7</v>
      </c>
      <c r="I173" s="23" t="s">
        <v>8</v>
      </c>
      <c r="J173" s="21"/>
      <c r="K173" s="23" t="s">
        <v>6</v>
      </c>
      <c r="L173" s="23" t="s">
        <v>7</v>
      </c>
      <c r="M173" s="23" t="s">
        <v>8</v>
      </c>
      <c r="N173" s="21"/>
      <c r="O173" s="24"/>
      <c r="P173" s="21"/>
      <c r="Q173" s="21"/>
      <c r="R173" s="23" t="s">
        <v>6</v>
      </c>
      <c r="S173" s="23" t="s">
        <v>7</v>
      </c>
      <c r="T173" s="23" t="s">
        <v>8</v>
      </c>
      <c r="U173" s="21"/>
      <c r="V173" s="317"/>
      <c r="W173" s="317"/>
      <c r="X173" s="317"/>
    </row>
    <row r="174" spans="1:24" ht="17.25" customHeight="1" thickTop="1" thickBot="1">
      <c r="A174" s="26"/>
      <c r="B174" s="26"/>
      <c r="C174" s="337">
        <v>1</v>
      </c>
      <c r="D174" s="28"/>
      <c r="E174" s="338" t="s">
        <v>181</v>
      </c>
      <c r="F174" s="28"/>
      <c r="G174" s="68">
        <f t="shared" ref="G174:I174" si="102">G176</f>
        <v>42000</v>
      </c>
      <c r="H174" s="68">
        <f t="shared" si="102"/>
        <v>0</v>
      </c>
      <c r="I174" s="30">
        <f t="shared" si="102"/>
        <v>42000</v>
      </c>
      <c r="J174" s="28"/>
      <c r="K174" s="31" t="e">
        <f t="shared" ref="K174:L174" ca="1" si="103">K176</f>
        <v>#NAME?</v>
      </c>
      <c r="L174" s="31">
        <f t="shared" si="103"/>
        <v>0</v>
      </c>
      <c r="M174" s="31" t="e">
        <f ca="1">L174+K174</f>
        <v>#NAME?</v>
      </c>
      <c r="N174" s="28"/>
      <c r="O174" s="32" t="e">
        <f ca="1">M174/I174</f>
        <v>#NAME?</v>
      </c>
      <c r="P174" s="28"/>
      <c r="Q174" s="35"/>
      <c r="R174" s="68">
        <f t="shared" ref="R174:T174" si="104">R176</f>
        <v>41000</v>
      </c>
      <c r="S174" s="68">
        <f t="shared" si="104"/>
        <v>0</v>
      </c>
      <c r="T174" s="30">
        <f t="shared" si="104"/>
        <v>41000</v>
      </c>
      <c r="U174" s="28"/>
      <c r="V174" s="318"/>
      <c r="W174" s="318"/>
      <c r="X174" s="318"/>
    </row>
    <row r="175" spans="1:24" ht="16.5" customHeight="1" thickTop="1">
      <c r="A175" s="7"/>
      <c r="B175" s="7"/>
      <c r="C175" s="8"/>
      <c r="D175" s="7"/>
      <c r="E175" s="7"/>
      <c r="F175" s="7"/>
      <c r="G175" s="94"/>
      <c r="H175" s="94"/>
      <c r="I175" s="94"/>
      <c r="J175" s="7"/>
      <c r="K175" s="94"/>
      <c r="L175" s="94"/>
      <c r="M175" s="94"/>
      <c r="N175" s="7"/>
      <c r="O175" s="73"/>
      <c r="P175" s="7"/>
      <c r="Q175" s="7"/>
      <c r="R175" s="94"/>
      <c r="S175" s="94"/>
      <c r="T175" s="94"/>
      <c r="U175" s="7"/>
      <c r="V175" s="324"/>
      <c r="W175" s="324"/>
      <c r="X175" s="324"/>
    </row>
    <row r="176" spans="1:24" ht="12.75" customHeight="1">
      <c r="A176" s="7"/>
      <c r="B176" s="7"/>
      <c r="C176" s="36">
        <v>10</v>
      </c>
      <c r="D176" s="7"/>
      <c r="E176" s="14" t="s">
        <v>182</v>
      </c>
      <c r="F176" s="7"/>
      <c r="G176" s="37">
        <f>G177</f>
        <v>42000</v>
      </c>
      <c r="H176" s="37">
        <v>0</v>
      </c>
      <c r="I176" s="37">
        <f>I177</f>
        <v>42000</v>
      </c>
      <c r="J176" s="7"/>
      <c r="K176" s="38" t="e">
        <f t="shared" ref="K176:L176" ca="1" si="105">SUM(K177:K178)</f>
        <v>#NAME?</v>
      </c>
      <c r="L176" s="38">
        <f t="shared" si="105"/>
        <v>0</v>
      </c>
      <c r="M176" s="38" t="e">
        <f ca="1">L176+K176</f>
        <v>#NAME?</v>
      </c>
      <c r="N176" s="7"/>
      <c r="O176" s="39" t="e">
        <f t="shared" ref="O176:O177" ca="1" si="106">M176/I176</f>
        <v>#NAME?</v>
      </c>
      <c r="P176" s="7"/>
      <c r="Q176" s="7"/>
      <c r="R176" s="37">
        <v>41000</v>
      </c>
      <c r="S176" s="37">
        <v>0</v>
      </c>
      <c r="T176" s="37">
        <v>41000</v>
      </c>
      <c r="U176" s="7"/>
      <c r="V176" s="322"/>
      <c r="W176" s="322"/>
      <c r="X176" s="322"/>
    </row>
    <row r="177" spans="1:24" ht="11.25" customHeight="1">
      <c r="A177" s="49">
        <v>7060001</v>
      </c>
      <c r="B177" s="49"/>
      <c r="C177" s="22">
        <v>100</v>
      </c>
      <c r="D177" s="21"/>
      <c r="E177" s="21" t="s">
        <v>260</v>
      </c>
      <c r="F177" s="21"/>
      <c r="G177" s="58">
        <v>42000</v>
      </c>
      <c r="H177" s="58">
        <v>0</v>
      </c>
      <c r="I177" s="58">
        <f>+G177+H177</f>
        <v>42000</v>
      </c>
      <c r="J177" s="21"/>
      <c r="K177" s="84" t="e">
        <f ca="1">+Q177</f>
        <v>#NAME?</v>
      </c>
      <c r="L177" s="84">
        <v>0</v>
      </c>
      <c r="M177" s="84" t="e">
        <f ca="1">+M176-M178</f>
        <v>#NAME?</v>
      </c>
      <c r="N177" s="21"/>
      <c r="O177" s="59" t="e">
        <f t="shared" ca="1" si="106"/>
        <v>#NAME?</v>
      </c>
      <c r="P177" s="21"/>
      <c r="Q177" s="21" t="e" cm="1">
        <f t="array" aca="1" ref="Q177" ca="1">-[1]!CN(70100000,,0,0,$M$2)</f>
        <v>#NAME?</v>
      </c>
      <c r="R177" s="58">
        <v>41000</v>
      </c>
      <c r="S177" s="58">
        <v>0</v>
      </c>
      <c r="T177" s="114">
        <v>41000</v>
      </c>
      <c r="U177" s="21"/>
      <c r="V177" s="325"/>
      <c r="W177" s="325"/>
      <c r="X177" s="325"/>
    </row>
    <row r="178" spans="1:24" ht="12.75" customHeight="1">
      <c r="A178" s="7"/>
      <c r="B178" s="7"/>
      <c r="C178" s="22">
        <v>101</v>
      </c>
      <c r="D178" s="21"/>
      <c r="E178" s="21" t="s">
        <v>184</v>
      </c>
      <c r="F178" s="21"/>
      <c r="G178" s="58">
        <v>0</v>
      </c>
      <c r="H178" s="114">
        <v>0</v>
      </c>
      <c r="I178" s="114">
        <v>0</v>
      </c>
      <c r="J178" s="21"/>
      <c r="K178" s="84">
        <v>0</v>
      </c>
      <c r="L178" s="84">
        <v>0</v>
      </c>
      <c r="M178" s="84">
        <f>+K178+L178</f>
        <v>0</v>
      </c>
      <c r="N178" s="21"/>
      <c r="O178" s="59"/>
      <c r="P178" s="21"/>
      <c r="Q178" s="7"/>
      <c r="R178" s="58">
        <v>0</v>
      </c>
      <c r="S178" s="114">
        <v>0</v>
      </c>
      <c r="T178" s="114">
        <v>0</v>
      </c>
      <c r="U178" s="21"/>
      <c r="V178" s="325"/>
      <c r="W178" s="325"/>
      <c r="X178" s="325"/>
    </row>
    <row r="179" spans="1:24" ht="6" customHeight="1" thickBot="1">
      <c r="A179" s="7"/>
      <c r="B179" s="7"/>
      <c r="C179" s="8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9"/>
      <c r="P179" s="7"/>
      <c r="Q179" s="7"/>
      <c r="R179" s="7"/>
      <c r="S179" s="7"/>
      <c r="T179" s="7"/>
      <c r="U179" s="7"/>
      <c r="V179" s="321"/>
      <c r="W179" s="321"/>
      <c r="X179" s="321"/>
    </row>
    <row r="180" spans="1:24" ht="17.25" customHeight="1" thickTop="1" thickBot="1">
      <c r="A180" s="26"/>
      <c r="B180" s="26"/>
      <c r="C180" s="337">
        <v>3</v>
      </c>
      <c r="D180" s="28"/>
      <c r="E180" s="338" t="s">
        <v>160</v>
      </c>
      <c r="F180" s="28"/>
      <c r="G180" s="339">
        <f>SUM(G182+G186+G195+G193)</f>
        <v>323855</v>
      </c>
      <c r="H180" s="339">
        <f>SUM(H182,H186,H195)</f>
        <v>0</v>
      </c>
      <c r="I180" s="339">
        <f>SUM(I182,I186,I193,I195)</f>
        <v>323855</v>
      </c>
      <c r="J180" s="340"/>
      <c r="K180" s="341" t="e">
        <f ca="1">SUM(K182,K186,K193,K195)</f>
        <v>#NAME?</v>
      </c>
      <c r="L180" s="341">
        <f t="shared" ref="L180" si="107">SUM(L182,L186,L193,L195)</f>
        <v>0</v>
      </c>
      <c r="M180" s="341" t="e">
        <f ca="1">L180+K180</f>
        <v>#NAME?</v>
      </c>
      <c r="N180" s="340"/>
      <c r="O180" s="342" t="e">
        <f ca="1">M180/I180</f>
        <v>#NAME?</v>
      </c>
      <c r="P180" s="340"/>
      <c r="Q180" s="343"/>
      <c r="R180" s="339">
        <f>SUM(R182+R186+R195+R193)</f>
        <v>293085.46999999997</v>
      </c>
      <c r="S180" s="339">
        <f>SUM(S182,S186,S195)</f>
        <v>0</v>
      </c>
      <c r="T180" s="339">
        <f>SUM(T182,T186,T193,T195)</f>
        <v>293085.46999999997</v>
      </c>
      <c r="U180" s="28"/>
      <c r="V180" s="318"/>
      <c r="W180" s="318"/>
      <c r="X180" s="318"/>
    </row>
    <row r="181" spans="1:24" ht="16.5" customHeight="1" thickTop="1">
      <c r="A181" s="7"/>
      <c r="B181" s="7"/>
      <c r="C181" s="8"/>
      <c r="D181" s="7"/>
      <c r="E181" s="7"/>
      <c r="F181" s="7"/>
      <c r="G181" s="94"/>
      <c r="H181" s="94"/>
      <c r="I181" s="94"/>
      <c r="J181" s="7"/>
      <c r="K181" s="94"/>
      <c r="L181" s="94"/>
      <c r="M181" s="94"/>
      <c r="N181" s="7"/>
      <c r="O181" s="73"/>
      <c r="P181" s="7"/>
      <c r="Q181" s="7"/>
      <c r="R181" s="94"/>
      <c r="S181" s="94"/>
      <c r="T181" s="94"/>
      <c r="U181" s="7"/>
      <c r="V181" s="324"/>
      <c r="W181" s="324"/>
      <c r="X181" s="324"/>
    </row>
    <row r="182" spans="1:24" ht="12.75" customHeight="1">
      <c r="A182" s="7"/>
      <c r="B182" s="7"/>
      <c r="C182" s="36">
        <v>30</v>
      </c>
      <c r="D182" s="7"/>
      <c r="E182" s="14" t="s">
        <v>186</v>
      </c>
      <c r="F182" s="7"/>
      <c r="G182" s="37">
        <f>+G183+G184</f>
        <v>276830</v>
      </c>
      <c r="H182" s="37">
        <f t="shared" ref="H182:I182" si="108">+H183+H184</f>
        <v>0</v>
      </c>
      <c r="I182" s="37">
        <f t="shared" si="108"/>
        <v>276830</v>
      </c>
      <c r="J182" s="7"/>
      <c r="K182" s="38" t="e">
        <f t="shared" ref="K182:L182" ca="1" si="109">SUM(K183:K184)</f>
        <v>#NAME?</v>
      </c>
      <c r="L182" s="38">
        <f t="shared" si="109"/>
        <v>0</v>
      </c>
      <c r="M182" s="38" t="e">
        <f t="shared" ref="M182:M184" ca="1" si="110">L182+K182</f>
        <v>#NAME?</v>
      </c>
      <c r="N182" s="7"/>
      <c r="O182" s="39" t="e">
        <f t="shared" ref="O182:O184" ca="1" si="111">M182/I182</f>
        <v>#NAME?</v>
      </c>
      <c r="P182" s="7"/>
      <c r="Q182" s="7"/>
      <c r="R182" s="37">
        <v>251665.47</v>
      </c>
      <c r="S182" s="37">
        <v>0</v>
      </c>
      <c r="T182" s="37">
        <v>251665.47</v>
      </c>
      <c r="U182" s="7"/>
      <c r="V182" s="38"/>
      <c r="W182" s="38"/>
      <c r="X182" s="38"/>
    </row>
    <row r="183" spans="1:24" ht="11.25" customHeight="1">
      <c r="A183" s="49">
        <v>7020001</v>
      </c>
      <c r="B183" s="49"/>
      <c r="C183" s="22" t="s">
        <v>187</v>
      </c>
      <c r="D183" s="57"/>
      <c r="E183" s="21" t="s">
        <v>188</v>
      </c>
      <c r="F183" s="57"/>
      <c r="G183" s="114">
        <v>0</v>
      </c>
      <c r="H183" s="114">
        <v>0</v>
      </c>
      <c r="I183" s="58">
        <v>0</v>
      </c>
      <c r="J183" s="57"/>
      <c r="K183" s="23">
        <v>0</v>
      </c>
      <c r="L183" s="23">
        <v>0</v>
      </c>
      <c r="M183" s="23">
        <f t="shared" si="110"/>
        <v>0</v>
      </c>
      <c r="N183" s="57"/>
      <c r="O183" s="59"/>
      <c r="P183" s="57"/>
      <c r="Q183" s="21"/>
      <c r="R183" s="114">
        <v>0</v>
      </c>
      <c r="S183" s="114">
        <v>0</v>
      </c>
      <c r="T183" s="58">
        <v>0</v>
      </c>
      <c r="U183" s="57"/>
      <c r="V183" s="23"/>
      <c r="W183" s="23"/>
      <c r="X183" s="23"/>
    </row>
    <row r="184" spans="1:24" ht="11.25" customHeight="1">
      <c r="A184" s="49">
        <v>7020002</v>
      </c>
      <c r="B184" s="49"/>
      <c r="C184" s="22" t="s">
        <v>190</v>
      </c>
      <c r="D184" s="21"/>
      <c r="E184" s="21" t="s">
        <v>456</v>
      </c>
      <c r="F184" s="21"/>
      <c r="G184" s="114">
        <v>276830</v>
      </c>
      <c r="H184" s="114">
        <v>0</v>
      </c>
      <c r="I184" s="114">
        <f>+G184+H184</f>
        <v>276830</v>
      </c>
      <c r="J184" s="21"/>
      <c r="K184" s="84" t="e">
        <f ca="1">+Q184</f>
        <v>#NAME?</v>
      </c>
      <c r="L184" s="23">
        <v>0</v>
      </c>
      <c r="M184" s="23" t="e">
        <f t="shared" ca="1" si="110"/>
        <v>#NAME?</v>
      </c>
      <c r="N184" s="21"/>
      <c r="O184" s="59" t="e">
        <f t="shared" ca="1" si="111"/>
        <v>#NAME?</v>
      </c>
      <c r="P184" s="21"/>
      <c r="Q184" s="21" t="e" cm="1">
        <f t="array" aca="1" ref="Q184" ca="1">-[1]!CN(70500001,,0,0,$M$2)</f>
        <v>#NAME?</v>
      </c>
      <c r="R184" s="114">
        <v>251665.47</v>
      </c>
      <c r="S184" s="58">
        <v>0</v>
      </c>
      <c r="T184" s="58">
        <v>251665.47</v>
      </c>
      <c r="U184" s="21"/>
      <c r="V184" s="84"/>
      <c r="W184" s="23"/>
      <c r="X184" s="23"/>
    </row>
    <row r="185" spans="1:24" ht="11.25" customHeight="1">
      <c r="A185" s="7"/>
      <c r="B185" s="7"/>
      <c r="C185" s="22"/>
      <c r="D185" s="7"/>
      <c r="E185" s="21"/>
      <c r="F185" s="7"/>
      <c r="G185" s="119"/>
      <c r="H185" s="119"/>
      <c r="I185" s="119"/>
      <c r="J185" s="7"/>
      <c r="K185" s="94"/>
      <c r="L185" s="94"/>
      <c r="M185" s="94"/>
      <c r="N185" s="7"/>
      <c r="O185" s="45"/>
      <c r="P185" s="7"/>
      <c r="Q185" s="7"/>
      <c r="R185" s="119"/>
      <c r="S185" s="119"/>
      <c r="T185" s="119"/>
      <c r="U185" s="7"/>
      <c r="V185" s="94"/>
      <c r="W185" s="94"/>
      <c r="X185" s="94"/>
    </row>
    <row r="186" spans="1:24" ht="12.75" customHeight="1">
      <c r="A186" s="7"/>
      <c r="B186" s="7"/>
      <c r="C186" s="36">
        <v>31</v>
      </c>
      <c r="D186" s="7"/>
      <c r="E186" s="14" t="s">
        <v>193</v>
      </c>
      <c r="F186" s="7"/>
      <c r="G186" s="37">
        <f>SUM(G187:G191)</f>
        <v>11075</v>
      </c>
      <c r="H186" s="37">
        <f t="shared" ref="H186:I186" si="112">SUM(H187:H191)</f>
        <v>0</v>
      </c>
      <c r="I186" s="37">
        <f t="shared" si="112"/>
        <v>11075</v>
      </c>
      <c r="J186" s="7"/>
      <c r="K186" s="38" t="e">
        <f ca="1">SUM(SUM(K187:K191))</f>
        <v>#NAME?</v>
      </c>
      <c r="L186" s="38">
        <f t="shared" ref="L186:M186" si="113">SUM(SUM(L187:L191))</f>
        <v>0</v>
      </c>
      <c r="M186" s="38" t="e">
        <f t="shared" ca="1" si="113"/>
        <v>#NAME?</v>
      </c>
      <c r="N186" s="7"/>
      <c r="O186" s="39" t="e">
        <f t="shared" ref="O186:O190" ca="1" si="114">M186/I186</f>
        <v>#NAME?</v>
      </c>
      <c r="P186" s="7"/>
      <c r="Q186" s="7"/>
      <c r="R186" s="37">
        <v>9820</v>
      </c>
      <c r="S186" s="37">
        <v>0</v>
      </c>
      <c r="T186" s="37">
        <v>9820</v>
      </c>
      <c r="U186" s="7"/>
      <c r="V186" s="38"/>
      <c r="W186" s="38"/>
      <c r="X186" s="38"/>
    </row>
    <row r="187" spans="1:24" ht="12.75" customHeight="1">
      <c r="A187" s="49">
        <v>7050002</v>
      </c>
      <c r="B187" s="49"/>
      <c r="C187" s="22" t="s">
        <v>194</v>
      </c>
      <c r="D187" s="21"/>
      <c r="E187" s="21" t="s">
        <v>261</v>
      </c>
      <c r="F187" s="21"/>
      <c r="G187" s="58">
        <v>4725</v>
      </c>
      <c r="H187" s="58">
        <v>0</v>
      </c>
      <c r="I187" s="58">
        <f>+G187+H187</f>
        <v>4725</v>
      </c>
      <c r="J187" s="21"/>
      <c r="K187" s="84" t="e">
        <f ca="1">+Q187</f>
        <v>#NAME?</v>
      </c>
      <c r="L187" s="23">
        <v>0</v>
      </c>
      <c r="M187" s="23" t="e">
        <f t="shared" ref="M187:M191" ca="1" si="115">L187+K187</f>
        <v>#NAME?</v>
      </c>
      <c r="N187" s="21"/>
      <c r="O187" s="59" t="e">
        <f t="shared" ca="1" si="114"/>
        <v>#NAME?</v>
      </c>
      <c r="P187" s="21"/>
      <c r="Q187" s="21" t="e" cm="1">
        <f t="array" aca="1" ref="Q187" ca="1">-[1]!CN(70500006,,0,0,$M$2)</f>
        <v>#NAME?</v>
      </c>
      <c r="R187" s="58">
        <v>4500</v>
      </c>
      <c r="S187" s="58">
        <v>0</v>
      </c>
      <c r="T187" s="58">
        <v>4500</v>
      </c>
      <c r="U187" s="21"/>
      <c r="V187" s="84"/>
      <c r="W187" s="23"/>
      <c r="X187" s="23"/>
    </row>
    <row r="188" spans="1:24" ht="12.75" customHeight="1">
      <c r="A188" s="49"/>
      <c r="B188" s="49"/>
      <c r="C188" s="22" t="s">
        <v>197</v>
      </c>
      <c r="D188" s="21"/>
      <c r="E188" s="21" t="s">
        <v>198</v>
      </c>
      <c r="F188" s="21"/>
      <c r="G188" s="58">
        <v>4500</v>
      </c>
      <c r="H188" s="58">
        <v>0</v>
      </c>
      <c r="I188" s="58">
        <f t="shared" ref="I188:I191" si="116">+G188+H188</f>
        <v>4500</v>
      </c>
      <c r="J188" s="21"/>
      <c r="K188" s="84" t="e">
        <f ca="1">+Q188</f>
        <v>#NAME?</v>
      </c>
      <c r="L188" s="23">
        <v>0</v>
      </c>
      <c r="M188" s="23" t="e">
        <f t="shared" ca="1" si="115"/>
        <v>#NAME?</v>
      </c>
      <c r="N188" s="21"/>
      <c r="O188" s="59" t="e">
        <f t="shared" ca="1" si="114"/>
        <v>#NAME?</v>
      </c>
      <c r="P188" s="21"/>
      <c r="Q188" s="21" t="e" cm="1">
        <f t="array" aca="1" ref="Q188" ca="1">-[1]!CN(70500010,,0,0,$M$2)</f>
        <v>#NAME?</v>
      </c>
      <c r="R188" s="58">
        <v>3500</v>
      </c>
      <c r="S188" s="58">
        <v>0</v>
      </c>
      <c r="T188" s="58">
        <v>3500</v>
      </c>
      <c r="U188" s="21"/>
      <c r="V188" s="84"/>
      <c r="W188" s="23"/>
      <c r="X188" s="23"/>
    </row>
    <row r="189" spans="1:24" ht="12.75" customHeight="1">
      <c r="A189" s="49"/>
      <c r="B189" s="49"/>
      <c r="C189" s="22" t="s">
        <v>200</v>
      </c>
      <c r="D189" s="21"/>
      <c r="E189" s="21" t="s">
        <v>201</v>
      </c>
      <c r="F189" s="21"/>
      <c r="G189" s="58">
        <v>900</v>
      </c>
      <c r="H189" s="58">
        <v>0</v>
      </c>
      <c r="I189" s="58">
        <f t="shared" si="116"/>
        <v>900</v>
      </c>
      <c r="J189" s="21"/>
      <c r="K189" s="23" t="e">
        <f ca="1">+Q189</f>
        <v>#NAME?</v>
      </c>
      <c r="L189" s="23">
        <v>0</v>
      </c>
      <c r="M189" s="23" t="e">
        <f t="shared" ca="1" si="115"/>
        <v>#NAME?</v>
      </c>
      <c r="N189" s="21"/>
      <c r="O189" s="59" t="e">
        <f t="shared" ca="1" si="114"/>
        <v>#NAME?</v>
      </c>
      <c r="P189" s="21"/>
      <c r="Q189" s="21" t="e" cm="1">
        <f t="array" aca="1" ref="Q189" ca="1">-[1]!CN(70500013,,0,0,$M$2)</f>
        <v>#NAME?</v>
      </c>
      <c r="R189" s="58">
        <v>900</v>
      </c>
      <c r="S189" s="58">
        <v>0</v>
      </c>
      <c r="T189" s="58">
        <v>900</v>
      </c>
      <c r="U189" s="21"/>
      <c r="V189" s="23"/>
      <c r="W189" s="23"/>
      <c r="X189" s="23"/>
    </row>
    <row r="190" spans="1:24" ht="12.75" customHeight="1">
      <c r="A190" s="49"/>
      <c r="B190" s="49"/>
      <c r="C190" s="22" t="s">
        <v>202</v>
      </c>
      <c r="D190" s="21"/>
      <c r="E190" s="21" t="s">
        <v>203</v>
      </c>
      <c r="F190" s="21"/>
      <c r="G190" s="58">
        <v>100</v>
      </c>
      <c r="H190" s="58">
        <v>0</v>
      </c>
      <c r="I190" s="58">
        <f t="shared" si="116"/>
        <v>100</v>
      </c>
      <c r="J190" s="21"/>
      <c r="K190" s="23" t="e">
        <f ca="1">+Q190</f>
        <v>#NAME?</v>
      </c>
      <c r="L190" s="23">
        <v>0</v>
      </c>
      <c r="M190" s="23" t="e">
        <f t="shared" ca="1" si="115"/>
        <v>#NAME?</v>
      </c>
      <c r="N190" s="21"/>
      <c r="O190" s="59" t="e">
        <f t="shared" ca="1" si="114"/>
        <v>#NAME?</v>
      </c>
      <c r="P190" s="21"/>
      <c r="Q190" s="21" t="e" cm="1">
        <f t="array" aca="1" ref="Q190" ca="1">-[1]!CN(70500004,,0,0,$M$2)</f>
        <v>#NAME?</v>
      </c>
      <c r="R190" s="58">
        <v>100</v>
      </c>
      <c r="S190" s="58">
        <v>0</v>
      </c>
      <c r="T190" s="58">
        <v>100</v>
      </c>
      <c r="U190" s="21"/>
      <c r="V190" s="23"/>
      <c r="W190" s="23"/>
      <c r="X190" s="23"/>
    </row>
    <row r="191" spans="1:24" ht="12.75" customHeight="1">
      <c r="A191" s="49"/>
      <c r="B191" s="49"/>
      <c r="C191" s="22" t="s">
        <v>427</v>
      </c>
      <c r="D191" s="21"/>
      <c r="E191" s="222" t="s">
        <v>428</v>
      </c>
      <c r="F191" s="21"/>
      <c r="G191" s="58">
        <v>850</v>
      </c>
      <c r="H191" s="308">
        <v>0</v>
      </c>
      <c r="I191" s="58">
        <f t="shared" si="116"/>
        <v>850</v>
      </c>
      <c r="J191" s="21"/>
      <c r="K191" s="84" t="e">
        <f ca="1">+Q191</f>
        <v>#NAME?</v>
      </c>
      <c r="L191" s="23">
        <v>0</v>
      </c>
      <c r="M191" s="23" t="e">
        <f t="shared" ca="1" si="115"/>
        <v>#NAME?</v>
      </c>
      <c r="N191" s="21"/>
      <c r="O191" s="59">
        <v>0</v>
      </c>
      <c r="P191" s="21"/>
      <c r="Q191" s="21" t="e" cm="1">
        <f t="array" aca="1" ref="Q191" ca="1">-[1]!CN(75200001,,0,0,$M$2)</f>
        <v>#NAME?</v>
      </c>
      <c r="R191" s="308">
        <v>820</v>
      </c>
      <c r="S191" s="308">
        <v>0</v>
      </c>
      <c r="T191" s="308">
        <v>820</v>
      </c>
      <c r="U191" s="21"/>
      <c r="V191" s="84"/>
      <c r="W191" s="23"/>
      <c r="X191" s="23"/>
    </row>
    <row r="192" spans="1:24" ht="5.25" customHeight="1">
      <c r="A192" s="7"/>
      <c r="B192" s="7"/>
      <c r="C192" s="8"/>
      <c r="D192" s="7"/>
      <c r="E192" s="86"/>
      <c r="F192" s="7"/>
      <c r="G192" s="119"/>
      <c r="H192" s="119"/>
      <c r="I192" s="314"/>
      <c r="J192" s="7"/>
      <c r="K192" s="94"/>
      <c r="L192" s="94"/>
      <c r="M192" s="23"/>
      <c r="N192" s="7"/>
      <c r="O192" s="45"/>
      <c r="P192" s="7"/>
      <c r="Q192" s="7"/>
      <c r="R192" s="119"/>
      <c r="S192" s="119"/>
      <c r="T192" s="119"/>
      <c r="U192" s="7"/>
      <c r="V192" s="94"/>
      <c r="W192" s="94"/>
      <c r="X192" s="23"/>
    </row>
    <row r="193" spans="1:24" ht="12.75" customHeight="1">
      <c r="A193" s="7" t="s">
        <v>205</v>
      </c>
      <c r="B193" s="7"/>
      <c r="C193" s="36">
        <v>32</v>
      </c>
      <c r="D193" s="7"/>
      <c r="E193" s="14" t="s">
        <v>457</v>
      </c>
      <c r="F193" s="7"/>
      <c r="G193" s="37">
        <v>16650</v>
      </c>
      <c r="H193" s="37">
        <v>0</v>
      </c>
      <c r="I193" s="37">
        <f>+G193+H193</f>
        <v>16650</v>
      </c>
      <c r="J193" s="7"/>
      <c r="K193" s="38" t="e">
        <f ca="1">+Q193</f>
        <v>#NAME?</v>
      </c>
      <c r="L193" s="38">
        <v>0</v>
      </c>
      <c r="M193" s="38" t="e">
        <f ca="1">L193+K193</f>
        <v>#NAME?</v>
      </c>
      <c r="N193" s="7"/>
      <c r="O193" s="39" t="e">
        <f ca="1">M193/I193</f>
        <v>#NAME?</v>
      </c>
      <c r="P193" s="7"/>
      <c r="Q193" s="21" t="e" cm="1">
        <f t="array" aca="1" ref="Q193" ca="1">-[1]!CN(70500002,,0,0,$M$2)</f>
        <v>#NAME?</v>
      </c>
      <c r="R193" s="37">
        <v>6600</v>
      </c>
      <c r="S193" s="37">
        <v>0</v>
      </c>
      <c r="T193" s="37">
        <v>6600</v>
      </c>
      <c r="U193" s="7"/>
      <c r="V193" s="38"/>
      <c r="W193" s="38"/>
      <c r="X193" s="38"/>
    </row>
    <row r="194" spans="1:24" ht="4.5" customHeight="1">
      <c r="A194" s="7"/>
      <c r="B194" s="7"/>
      <c r="C194" s="8"/>
      <c r="D194" s="87"/>
      <c r="E194" s="7"/>
      <c r="F194" s="87"/>
      <c r="G194" s="119"/>
      <c r="H194" s="119"/>
      <c r="I194" s="119"/>
      <c r="J194" s="87"/>
      <c r="K194" s="94"/>
      <c r="L194" s="94"/>
      <c r="M194" s="94"/>
      <c r="N194" s="87"/>
      <c r="O194" s="45"/>
      <c r="P194" s="87"/>
      <c r="Q194" s="7"/>
      <c r="R194" s="119"/>
      <c r="S194" s="119"/>
      <c r="T194" s="119"/>
      <c r="U194" s="87"/>
      <c r="V194" s="94"/>
      <c r="W194" s="94"/>
      <c r="X194" s="94"/>
    </row>
    <row r="195" spans="1:24" ht="12.75" customHeight="1">
      <c r="A195" s="7"/>
      <c r="B195" s="7"/>
      <c r="C195" s="36">
        <v>33</v>
      </c>
      <c r="D195" s="7"/>
      <c r="E195" s="14" t="s">
        <v>208</v>
      </c>
      <c r="F195" s="7"/>
      <c r="G195" s="37">
        <f>SUM(G196:G199)</f>
        <v>19300</v>
      </c>
      <c r="H195" s="37">
        <v>0</v>
      </c>
      <c r="I195" s="37">
        <f>SUM(I196:I199)</f>
        <v>19300</v>
      </c>
      <c r="J195" s="7"/>
      <c r="K195" s="38" t="e">
        <f t="shared" ref="K195:L195" ca="1" si="117">SUM(K196:K199)</f>
        <v>#NAME?</v>
      </c>
      <c r="L195" s="38">
        <f t="shared" si="117"/>
        <v>0</v>
      </c>
      <c r="M195" s="38" t="e">
        <f t="shared" ref="M195" ca="1" si="118">L195+K195</f>
        <v>#NAME?</v>
      </c>
      <c r="N195" s="7"/>
      <c r="O195" s="39" t="e">
        <f t="shared" ref="O195:O196" ca="1" si="119">M195/I195</f>
        <v>#NAME?</v>
      </c>
      <c r="P195" s="7"/>
      <c r="Q195" s="7"/>
      <c r="R195" s="37">
        <v>25000</v>
      </c>
      <c r="S195" s="37">
        <v>0</v>
      </c>
      <c r="T195" s="37">
        <v>25000</v>
      </c>
      <c r="U195" s="7"/>
      <c r="V195" s="38"/>
      <c r="W195" s="38"/>
      <c r="X195" s="38"/>
    </row>
    <row r="196" spans="1:24" ht="11.25" customHeight="1">
      <c r="A196" s="49">
        <v>7020003</v>
      </c>
      <c r="B196" s="49"/>
      <c r="C196" s="22" t="s">
        <v>209</v>
      </c>
      <c r="D196" s="21"/>
      <c r="E196" s="21" t="s">
        <v>210</v>
      </c>
      <c r="F196" s="21"/>
      <c r="G196" s="58">
        <v>1800</v>
      </c>
      <c r="H196" s="58">
        <v>0</v>
      </c>
      <c r="I196" s="58">
        <f>+G196+H196</f>
        <v>1800</v>
      </c>
      <c r="J196" s="21"/>
      <c r="K196" s="84" t="e">
        <f ca="1">+Q196</f>
        <v>#NAME?</v>
      </c>
      <c r="L196" s="23">
        <v>0</v>
      </c>
      <c r="M196" s="23" t="e">
        <f t="shared" ref="M196:M199" ca="1" si="120">L196+K196</f>
        <v>#NAME?</v>
      </c>
      <c r="N196" s="21"/>
      <c r="O196" s="59" t="e">
        <f t="shared" ca="1" si="119"/>
        <v>#NAME?</v>
      </c>
      <c r="P196" s="21"/>
      <c r="Q196" s="21" t="e" cm="1">
        <f t="array" aca="1" ref="Q196" ca="1">-[1]!CN(70500000,,0,0,$M$2)</f>
        <v>#NAME?</v>
      </c>
      <c r="R196" s="58">
        <v>2500</v>
      </c>
      <c r="S196" s="58">
        <v>0</v>
      </c>
      <c r="T196" s="58">
        <v>2500</v>
      </c>
      <c r="U196" s="21"/>
      <c r="V196" s="84"/>
      <c r="W196" s="23"/>
      <c r="X196" s="23"/>
    </row>
    <row r="197" spans="1:24" ht="11.25" customHeight="1">
      <c r="A197" s="49">
        <v>7050004</v>
      </c>
      <c r="B197" s="49"/>
      <c r="C197" s="22" t="s">
        <v>212</v>
      </c>
      <c r="D197" s="21"/>
      <c r="E197" s="21" t="s">
        <v>213</v>
      </c>
      <c r="F197" s="21"/>
      <c r="G197" s="58"/>
      <c r="H197" s="58">
        <v>0</v>
      </c>
      <c r="I197" s="58">
        <f t="shared" ref="I197:I199" si="121">+G197+H197</f>
        <v>0</v>
      </c>
      <c r="J197" s="21"/>
      <c r="K197" s="84">
        <f t="shared" ref="K197:K199" si="122">VALUE(Q197)</f>
        <v>0</v>
      </c>
      <c r="L197" s="23">
        <v>0</v>
      </c>
      <c r="M197" s="23">
        <f t="shared" si="120"/>
        <v>0</v>
      </c>
      <c r="N197" s="21"/>
      <c r="O197" s="59">
        <v>0</v>
      </c>
      <c r="P197" s="21"/>
      <c r="Q197" s="21"/>
      <c r="R197" s="58">
        <v>0</v>
      </c>
      <c r="S197" s="58">
        <v>0</v>
      </c>
      <c r="T197" s="58">
        <v>0</v>
      </c>
      <c r="U197" s="21"/>
      <c r="V197" s="84"/>
      <c r="W197" s="23"/>
      <c r="X197" s="23"/>
    </row>
    <row r="198" spans="1:24" ht="11.25" customHeight="1">
      <c r="A198" s="49"/>
      <c r="B198" s="49"/>
      <c r="C198" s="22" t="s">
        <v>214</v>
      </c>
      <c r="D198" s="21"/>
      <c r="E198" s="21" t="s">
        <v>426</v>
      </c>
      <c r="F198" s="21"/>
      <c r="G198" s="58">
        <v>7500</v>
      </c>
      <c r="H198" s="58">
        <v>0</v>
      </c>
      <c r="I198" s="58">
        <f t="shared" si="121"/>
        <v>7500</v>
      </c>
      <c r="J198" s="21"/>
      <c r="K198" s="84" t="e">
        <f ca="1">+Q198</f>
        <v>#NAME?</v>
      </c>
      <c r="L198" s="23">
        <v>0</v>
      </c>
      <c r="M198" s="23" t="e">
        <f t="shared" ca="1" si="120"/>
        <v>#NAME?</v>
      </c>
      <c r="N198" s="21"/>
      <c r="O198" s="59" t="e">
        <f t="shared" ref="O198:O199" ca="1" si="123">M198/I198</f>
        <v>#NAME?</v>
      </c>
      <c r="P198" s="21"/>
      <c r="Q198" s="21" t="e" cm="1">
        <f t="array" aca="1" ref="Q198" ca="1">-[1]!CN(70500005,,0,0,$M$2)</f>
        <v>#NAME?</v>
      </c>
      <c r="R198" s="58">
        <v>7500</v>
      </c>
      <c r="S198" s="58">
        <v>0</v>
      </c>
      <c r="T198" s="58">
        <v>7500</v>
      </c>
      <c r="U198" s="21"/>
      <c r="V198" s="84"/>
      <c r="W198" s="23"/>
      <c r="X198" s="23"/>
    </row>
    <row r="199" spans="1:24" ht="11.25" customHeight="1">
      <c r="A199" s="49">
        <v>7050005</v>
      </c>
      <c r="B199" s="49"/>
      <c r="C199" s="22" t="s">
        <v>217</v>
      </c>
      <c r="D199" s="21"/>
      <c r="E199" s="21" t="s">
        <v>218</v>
      </c>
      <c r="F199" s="21"/>
      <c r="G199" s="58">
        <v>10000</v>
      </c>
      <c r="H199" s="58">
        <v>0</v>
      </c>
      <c r="I199" s="58">
        <f t="shared" si="121"/>
        <v>10000</v>
      </c>
      <c r="J199" s="21"/>
      <c r="K199" s="84" t="e">
        <f t="shared" ca="1" si="122"/>
        <v>#NAME?</v>
      </c>
      <c r="L199" s="23">
        <v>0</v>
      </c>
      <c r="M199" s="23" t="e">
        <f t="shared" ca="1" si="120"/>
        <v>#NAME?</v>
      </c>
      <c r="N199" s="21"/>
      <c r="O199" s="59" t="e">
        <f t="shared" ca="1" si="123"/>
        <v>#NAME?</v>
      </c>
      <c r="P199" s="21"/>
      <c r="Q199" s="21" t="e" cm="1">
        <f t="array" aca="1" ref="Q199" ca="1">-[1]!CN(70500011,,0,0,$M$2)</f>
        <v>#NAME?</v>
      </c>
      <c r="R199" s="58">
        <v>15000</v>
      </c>
      <c r="S199" s="58">
        <v>0</v>
      </c>
      <c r="T199" s="58">
        <v>15000</v>
      </c>
      <c r="U199" s="21"/>
      <c r="V199" s="84"/>
      <c r="W199" s="23"/>
      <c r="X199" s="23"/>
    </row>
    <row r="200" spans="1:24" ht="9.75" customHeight="1" thickBot="1">
      <c r="A200" s="7"/>
      <c r="B200" s="7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9"/>
      <c r="P200" s="7"/>
      <c r="Q200" s="7"/>
      <c r="R200" s="7"/>
      <c r="S200" s="7"/>
      <c r="T200" s="7"/>
      <c r="U200" s="7"/>
      <c r="V200" s="7"/>
      <c r="W200" s="7"/>
      <c r="X200" s="7"/>
    </row>
    <row r="201" spans="1:24" ht="17.25" customHeight="1" thickTop="1" thickBot="1">
      <c r="A201" s="26"/>
      <c r="B201" s="26"/>
      <c r="C201" s="337">
        <v>4</v>
      </c>
      <c r="D201" s="28"/>
      <c r="E201" s="338" t="s">
        <v>164</v>
      </c>
      <c r="F201" s="28"/>
      <c r="G201" s="30">
        <v>0</v>
      </c>
      <c r="H201" s="30">
        <v>0</v>
      </c>
      <c r="I201" s="30">
        <v>0</v>
      </c>
      <c r="J201" s="28"/>
      <c r="K201" s="31">
        <v>0</v>
      </c>
      <c r="L201" s="31">
        <v>0</v>
      </c>
      <c r="M201" s="31">
        <f>+K201+L201</f>
        <v>0</v>
      </c>
      <c r="N201" s="28"/>
      <c r="O201" s="32">
        <v>0</v>
      </c>
      <c r="P201" s="28"/>
      <c r="Q201" s="35"/>
      <c r="R201" s="374">
        <v>0</v>
      </c>
      <c r="S201" s="374">
        <v>0</v>
      </c>
      <c r="T201" s="30">
        <v>0</v>
      </c>
      <c r="U201" s="28"/>
      <c r="V201" s="318"/>
      <c r="W201" s="318"/>
      <c r="X201" s="318"/>
    </row>
    <row r="202" spans="1:24" ht="15.75" customHeight="1" thickTop="1" thickBot="1">
      <c r="A202" s="7"/>
      <c r="B202" s="7"/>
      <c r="C202" s="8"/>
      <c r="D202" s="7"/>
      <c r="E202" s="7"/>
      <c r="F202" s="7"/>
      <c r="G202" s="94"/>
      <c r="H202" s="94"/>
      <c r="I202" s="94"/>
      <c r="J202" s="7"/>
      <c r="K202" s="94"/>
      <c r="L202" s="94"/>
      <c r="M202" s="94"/>
      <c r="N202" s="7"/>
      <c r="O202" s="73"/>
      <c r="P202" s="7"/>
      <c r="Q202" s="7"/>
      <c r="R202" s="94"/>
      <c r="S202" s="94"/>
      <c r="T202" s="94"/>
      <c r="U202" s="7"/>
      <c r="V202" s="324"/>
      <c r="W202" s="324"/>
      <c r="X202" s="324"/>
    </row>
    <row r="203" spans="1:24" ht="17.25" customHeight="1" thickTop="1" thickBot="1">
      <c r="A203" s="26">
        <v>7520001</v>
      </c>
      <c r="B203" s="26"/>
      <c r="C203" s="337">
        <v>5</v>
      </c>
      <c r="D203" s="28"/>
      <c r="E203" s="338" t="s">
        <v>165</v>
      </c>
      <c r="F203" s="28"/>
      <c r="G203" s="30">
        <f>G205+G207+G206+G208</f>
        <v>900</v>
      </c>
      <c r="H203" s="30">
        <v>0</v>
      </c>
      <c r="I203" s="30">
        <f>I205+I206+I207+I208</f>
        <v>900</v>
      </c>
      <c r="J203" s="28"/>
      <c r="K203" s="31" t="e">
        <f ca="1">SUM(J205:K208)</f>
        <v>#NAME?</v>
      </c>
      <c r="L203" s="31">
        <f t="shared" ref="L203" si="124">L205+L206+L207</f>
        <v>0</v>
      </c>
      <c r="M203" s="31" t="e">
        <f ca="1">L203+K203</f>
        <v>#NAME?</v>
      </c>
      <c r="N203" s="28"/>
      <c r="O203" s="32">
        <v>0</v>
      </c>
      <c r="P203" s="28"/>
      <c r="Q203" s="35"/>
      <c r="R203" s="374">
        <f>+R205</f>
        <v>600</v>
      </c>
      <c r="S203" s="374">
        <v>0</v>
      </c>
      <c r="T203" s="30">
        <f>+T205</f>
        <v>600</v>
      </c>
      <c r="U203" s="28"/>
      <c r="V203" s="318"/>
      <c r="W203" s="318"/>
      <c r="X203" s="318"/>
    </row>
    <row r="204" spans="1:24" ht="15" customHeight="1" thickTop="1">
      <c r="A204" s="7"/>
      <c r="B204" s="7"/>
      <c r="C204" s="8"/>
      <c r="D204" s="7"/>
      <c r="E204" s="7"/>
      <c r="F204" s="7"/>
      <c r="G204" s="94"/>
      <c r="H204" s="94"/>
      <c r="I204" s="94"/>
      <c r="J204" s="7"/>
      <c r="K204" s="94"/>
      <c r="L204" s="94"/>
      <c r="M204" s="94"/>
      <c r="N204" s="7"/>
      <c r="O204" s="39"/>
      <c r="P204" s="7"/>
      <c r="Q204" s="7"/>
      <c r="R204" s="94"/>
      <c r="S204" s="94"/>
      <c r="T204" s="94"/>
      <c r="U204" s="7"/>
      <c r="V204" s="324"/>
      <c r="W204" s="324"/>
      <c r="X204" s="324"/>
    </row>
    <row r="205" spans="1:24" ht="12.75" customHeight="1">
      <c r="A205" s="7">
        <v>7690001</v>
      </c>
      <c r="B205" s="7"/>
      <c r="C205" s="36">
        <v>50</v>
      </c>
      <c r="D205" s="7"/>
      <c r="E205" s="14" t="s">
        <v>219</v>
      </c>
      <c r="F205" s="7"/>
      <c r="G205" s="37">
        <v>900</v>
      </c>
      <c r="H205" s="293">
        <v>0</v>
      </c>
      <c r="I205" s="37">
        <f>+G205+H205</f>
        <v>900</v>
      </c>
      <c r="J205" s="7"/>
      <c r="K205" s="38">
        <v>0</v>
      </c>
      <c r="L205" s="38">
        <v>0</v>
      </c>
      <c r="M205" s="38">
        <f t="shared" ref="M205:M208" si="125">L205+K205</f>
        <v>0</v>
      </c>
      <c r="N205" s="7"/>
      <c r="O205" s="292">
        <v>0</v>
      </c>
      <c r="P205" s="7"/>
      <c r="Q205" s="7"/>
      <c r="R205" s="293">
        <v>600</v>
      </c>
      <c r="S205" s="293">
        <v>0</v>
      </c>
      <c r="T205" s="293">
        <v>600</v>
      </c>
      <c r="U205" s="7"/>
      <c r="V205" s="322"/>
      <c r="W205" s="322"/>
      <c r="X205" s="322"/>
    </row>
    <row r="206" spans="1:24" ht="12.75" customHeight="1">
      <c r="A206" s="7">
        <v>7690002</v>
      </c>
      <c r="B206" s="7"/>
      <c r="C206" s="36">
        <v>53</v>
      </c>
      <c r="D206" s="7"/>
      <c r="E206" s="14" t="s">
        <v>220</v>
      </c>
      <c r="F206" s="7"/>
      <c r="G206" s="37">
        <v>0</v>
      </c>
      <c r="H206" s="37">
        <v>0</v>
      </c>
      <c r="I206" s="37">
        <v>0</v>
      </c>
      <c r="J206" s="7"/>
      <c r="K206" s="38">
        <v>0</v>
      </c>
      <c r="L206" s="38">
        <v>0</v>
      </c>
      <c r="M206" s="38">
        <f t="shared" si="125"/>
        <v>0</v>
      </c>
      <c r="N206" s="7"/>
      <c r="O206" s="59">
        <v>0</v>
      </c>
      <c r="P206" s="7"/>
      <c r="Q206" s="7"/>
      <c r="R206" s="37">
        <v>0</v>
      </c>
      <c r="S206" s="37">
        <v>0</v>
      </c>
      <c r="T206" s="37">
        <v>0</v>
      </c>
      <c r="U206" s="7"/>
      <c r="V206" s="322"/>
      <c r="W206" s="322"/>
      <c r="X206" s="322"/>
    </row>
    <row r="207" spans="1:24" ht="12.75" customHeight="1">
      <c r="A207" s="7">
        <v>7690003</v>
      </c>
      <c r="B207" s="7"/>
      <c r="C207" s="36">
        <v>54</v>
      </c>
      <c r="D207" s="7"/>
      <c r="E207" s="14" t="s">
        <v>221</v>
      </c>
      <c r="F207" s="7"/>
      <c r="G207" s="37">
        <v>0</v>
      </c>
      <c r="H207" s="37">
        <v>0</v>
      </c>
      <c r="I207" s="37">
        <v>0</v>
      </c>
      <c r="J207" s="7"/>
      <c r="K207" s="38">
        <v>0</v>
      </c>
      <c r="L207" s="38">
        <v>0</v>
      </c>
      <c r="M207" s="38">
        <f t="shared" si="125"/>
        <v>0</v>
      </c>
      <c r="N207" s="7"/>
      <c r="O207" s="59">
        <v>0</v>
      </c>
      <c r="P207" s="7"/>
      <c r="Q207" s="7"/>
      <c r="R207" s="37">
        <v>0</v>
      </c>
      <c r="S207" s="37">
        <v>0</v>
      </c>
      <c r="T207" s="37">
        <v>0</v>
      </c>
      <c r="U207" s="7"/>
      <c r="V207" s="322"/>
      <c r="W207" s="322"/>
      <c r="X207" s="322"/>
    </row>
    <row r="208" spans="1:24" ht="12.75" customHeight="1">
      <c r="A208" s="7"/>
      <c r="B208" s="7"/>
      <c r="C208" s="36">
        <v>55</v>
      </c>
      <c r="D208" s="7"/>
      <c r="E208" s="309" t="s">
        <v>429</v>
      </c>
      <c r="F208" s="7"/>
      <c r="G208" s="37">
        <v>0</v>
      </c>
      <c r="H208" s="37">
        <v>0</v>
      </c>
      <c r="I208" s="37">
        <v>0</v>
      </c>
      <c r="J208" s="7"/>
      <c r="K208" s="38" t="e">
        <f ca="1">+Q208</f>
        <v>#NAME?</v>
      </c>
      <c r="L208" s="38">
        <v>0</v>
      </c>
      <c r="M208" s="38" t="e">
        <f t="shared" ca="1" si="125"/>
        <v>#NAME?</v>
      </c>
      <c r="N208" s="7"/>
      <c r="O208" s="59">
        <v>0</v>
      </c>
      <c r="P208" s="7"/>
      <c r="Q208" s="21" t="e" cm="1">
        <f t="array" aca="1" ref="Q208" ca="1">-[1]!CN(77800000,,0,0,$M$2)</f>
        <v>#NAME?</v>
      </c>
      <c r="R208" s="37">
        <v>0</v>
      </c>
      <c r="S208" s="37">
        <v>0</v>
      </c>
      <c r="T208" s="37">
        <v>0</v>
      </c>
      <c r="U208" s="7"/>
      <c r="V208" s="322"/>
      <c r="W208" s="322"/>
      <c r="X208" s="322"/>
    </row>
    <row r="209" spans="1:24" ht="5.25" customHeight="1" thickBot="1">
      <c r="A209" s="7"/>
      <c r="B209" s="7"/>
      <c r="C209" s="8"/>
      <c r="D209" s="7"/>
      <c r="E209" s="7"/>
      <c r="F209" s="7"/>
      <c r="G209" s="94"/>
      <c r="H209" s="94"/>
      <c r="I209" s="94"/>
      <c r="J209" s="7"/>
      <c r="K209" s="94"/>
      <c r="L209" s="94"/>
      <c r="M209" s="94"/>
      <c r="N209" s="7"/>
      <c r="O209" s="73"/>
      <c r="P209" s="7"/>
      <c r="Q209" s="7"/>
      <c r="R209" s="94"/>
      <c r="S209" s="94"/>
      <c r="T209" s="94"/>
      <c r="U209" s="7"/>
      <c r="V209" s="324"/>
      <c r="W209" s="324"/>
      <c r="X209" s="324"/>
    </row>
    <row r="210" spans="1:24" ht="17.25" customHeight="1" thickTop="1" thickBot="1">
      <c r="A210" s="26"/>
      <c r="B210" s="26"/>
      <c r="C210" s="337">
        <v>8</v>
      </c>
      <c r="D210" s="28"/>
      <c r="E210" s="338" t="s">
        <v>145</v>
      </c>
      <c r="F210" s="28"/>
      <c r="G210" s="30">
        <f>+G212+G213+G214</f>
        <v>0</v>
      </c>
      <c r="H210" s="30">
        <v>0</v>
      </c>
      <c r="I210" s="30">
        <f>+I212+I213+I214</f>
        <v>0</v>
      </c>
      <c r="J210" s="28"/>
      <c r="K210" s="31">
        <v>0</v>
      </c>
      <c r="L210" s="31">
        <v>0</v>
      </c>
      <c r="M210" s="31">
        <f>+K210+L210</f>
        <v>0</v>
      </c>
      <c r="N210" s="28"/>
      <c r="O210" s="32">
        <v>0</v>
      </c>
      <c r="P210" s="28"/>
      <c r="Q210" s="35"/>
      <c r="R210" s="374">
        <f>+R212+R213+R214</f>
        <v>0</v>
      </c>
      <c r="S210" s="374">
        <v>0</v>
      </c>
      <c r="T210" s="30">
        <f>+T212+T213+T214</f>
        <v>0</v>
      </c>
      <c r="U210" s="28"/>
      <c r="V210" s="318"/>
      <c r="W210" s="318"/>
      <c r="X210" s="318"/>
    </row>
    <row r="211" spans="1:24" ht="16.5" customHeight="1" thickTop="1">
      <c r="A211" s="7"/>
      <c r="B211" s="7"/>
      <c r="C211" s="8"/>
      <c r="D211" s="7"/>
      <c r="E211" s="7"/>
      <c r="F211" s="7"/>
      <c r="G211" s="94"/>
      <c r="H211" s="94"/>
      <c r="I211" s="94"/>
      <c r="J211" s="7"/>
      <c r="K211" s="94"/>
      <c r="L211" s="94"/>
      <c r="M211" s="94"/>
      <c r="N211" s="7"/>
      <c r="O211" s="73"/>
      <c r="P211" s="7"/>
      <c r="Q211" s="7"/>
      <c r="R211" s="94"/>
      <c r="S211" s="94"/>
      <c r="T211" s="94"/>
      <c r="U211" s="7"/>
      <c r="V211" s="324"/>
      <c r="W211" s="324"/>
      <c r="X211" s="324"/>
    </row>
    <row r="212" spans="1:24" ht="12.75" customHeight="1">
      <c r="A212" s="7"/>
      <c r="B212" s="7"/>
      <c r="C212" s="36">
        <v>82</v>
      </c>
      <c r="D212" s="7"/>
      <c r="E212" s="14" t="s">
        <v>222</v>
      </c>
      <c r="F212" s="7"/>
      <c r="G212" s="113">
        <v>0</v>
      </c>
      <c r="H212" s="113">
        <v>0</v>
      </c>
      <c r="I212" s="113">
        <v>0</v>
      </c>
      <c r="J212" s="7"/>
      <c r="K212" s="38">
        <v>0</v>
      </c>
      <c r="L212" s="38">
        <v>0</v>
      </c>
      <c r="M212" s="38">
        <v>0</v>
      </c>
      <c r="N212" s="7"/>
      <c r="O212" s="59">
        <v>0</v>
      </c>
      <c r="P212" s="7"/>
      <c r="Q212" s="7"/>
      <c r="R212" s="113">
        <v>0</v>
      </c>
      <c r="S212" s="113">
        <v>0</v>
      </c>
      <c r="T212" s="113">
        <v>0</v>
      </c>
      <c r="U212" s="7"/>
      <c r="V212" s="322"/>
      <c r="W212" s="322"/>
      <c r="X212" s="322"/>
    </row>
    <row r="213" spans="1:24" ht="12.75" customHeight="1">
      <c r="A213" s="7"/>
      <c r="B213" s="7"/>
      <c r="C213" s="36">
        <v>83</v>
      </c>
      <c r="D213" s="7"/>
      <c r="E213" s="14" t="s">
        <v>223</v>
      </c>
      <c r="F213" s="7"/>
      <c r="G213" s="113">
        <v>0</v>
      </c>
      <c r="H213" s="113">
        <v>0</v>
      </c>
      <c r="I213" s="113">
        <v>0</v>
      </c>
      <c r="J213" s="7"/>
      <c r="K213" s="38">
        <v>0</v>
      </c>
      <c r="L213" s="38">
        <v>0</v>
      </c>
      <c r="M213" s="38">
        <v>0</v>
      </c>
      <c r="N213" s="7"/>
      <c r="O213" s="59">
        <v>0</v>
      </c>
      <c r="P213" s="7"/>
      <c r="Q213" s="7"/>
      <c r="R213" s="113">
        <v>0</v>
      </c>
      <c r="S213" s="113">
        <v>0</v>
      </c>
      <c r="T213" s="113">
        <v>0</v>
      </c>
      <c r="U213" s="7"/>
      <c r="V213" s="322"/>
      <c r="W213" s="322"/>
      <c r="X213" s="322"/>
    </row>
    <row r="214" spans="1:24" ht="12.75" customHeight="1">
      <c r="A214" s="7"/>
      <c r="B214" s="7"/>
      <c r="C214" s="36">
        <v>87</v>
      </c>
      <c r="D214" s="7"/>
      <c r="E214" s="14" t="s">
        <v>224</v>
      </c>
      <c r="F214" s="7"/>
      <c r="G214" s="113">
        <v>0</v>
      </c>
      <c r="H214" s="113">
        <v>0</v>
      </c>
      <c r="I214" s="113">
        <v>0</v>
      </c>
      <c r="J214" s="7"/>
      <c r="K214" s="38">
        <v>0</v>
      </c>
      <c r="L214" s="38">
        <v>0</v>
      </c>
      <c r="M214" s="38">
        <v>0</v>
      </c>
      <c r="N214" s="7"/>
      <c r="O214" s="59">
        <v>0</v>
      </c>
      <c r="P214" s="7"/>
      <c r="Q214" s="7"/>
      <c r="R214" s="113">
        <v>0</v>
      </c>
      <c r="S214" s="113">
        <v>0</v>
      </c>
      <c r="T214" s="113">
        <v>0</v>
      </c>
      <c r="U214" s="7"/>
      <c r="V214" s="322"/>
      <c r="W214" s="322"/>
      <c r="X214" s="322"/>
    </row>
    <row r="215" spans="1:24" ht="6" customHeight="1" thickBot="1">
      <c r="A215" s="7"/>
      <c r="B215" s="7"/>
      <c r="C215" s="8"/>
      <c r="D215" s="7"/>
      <c r="E215" s="7"/>
      <c r="F215" s="7"/>
      <c r="G215" s="94"/>
      <c r="H215" s="94"/>
      <c r="I215" s="94"/>
      <c r="J215" s="7"/>
      <c r="K215" s="94"/>
      <c r="L215" s="94"/>
      <c r="M215" s="94"/>
      <c r="N215" s="7"/>
      <c r="O215" s="73"/>
      <c r="P215" s="7"/>
      <c r="Q215" s="7"/>
      <c r="R215" s="94"/>
      <c r="S215" s="94"/>
      <c r="T215" s="94"/>
      <c r="U215" s="7"/>
      <c r="V215" s="324"/>
      <c r="W215" s="324"/>
      <c r="X215" s="324"/>
    </row>
    <row r="216" spans="1:24" ht="17.25" customHeight="1" thickTop="1" thickBot="1">
      <c r="A216" s="26"/>
      <c r="B216" s="26"/>
      <c r="C216" s="337">
        <v>9</v>
      </c>
      <c r="D216" s="28"/>
      <c r="E216" s="338" t="s">
        <v>225</v>
      </c>
      <c r="F216" s="28"/>
      <c r="G216" s="374">
        <f>G218+G219</f>
        <v>4800</v>
      </c>
      <c r="H216" s="374">
        <v>0</v>
      </c>
      <c r="I216" s="374">
        <f>I218+I219</f>
        <v>4800</v>
      </c>
      <c r="J216" s="28"/>
      <c r="K216" s="31">
        <v>0</v>
      </c>
      <c r="L216" s="31">
        <v>0</v>
      </c>
      <c r="M216" s="31">
        <f>+K216+L216</f>
        <v>0</v>
      </c>
      <c r="N216" s="28"/>
      <c r="O216" s="32">
        <v>0</v>
      </c>
      <c r="P216" s="28"/>
      <c r="Q216" s="35"/>
      <c r="R216" s="374">
        <f>+R218+R219</f>
        <v>5200</v>
      </c>
      <c r="S216" s="374">
        <f t="shared" ref="S216:T216" si="126">+S218+S219</f>
        <v>0</v>
      </c>
      <c r="T216" s="374">
        <f t="shared" si="126"/>
        <v>5200</v>
      </c>
      <c r="U216" s="28"/>
      <c r="V216" s="318"/>
      <c r="W216" s="318"/>
      <c r="X216" s="318"/>
    </row>
    <row r="217" spans="1:24" ht="17.25" customHeight="1" thickTop="1">
      <c r="A217" s="7"/>
      <c r="B217" s="7"/>
      <c r="C217" s="8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9"/>
      <c r="P217" s="7"/>
      <c r="Q217" s="7"/>
      <c r="R217" s="7"/>
      <c r="S217" s="7"/>
      <c r="T217" s="7"/>
      <c r="U217" s="7"/>
      <c r="V217" s="7"/>
      <c r="W217" s="7"/>
      <c r="X217" s="7"/>
    </row>
    <row r="218" spans="1:24" ht="12.75" customHeight="1">
      <c r="A218" s="7"/>
      <c r="B218" s="7"/>
      <c r="C218" s="36">
        <v>92</v>
      </c>
      <c r="D218" s="7"/>
      <c r="E218" s="14" t="s">
        <v>226</v>
      </c>
      <c r="F218" s="7"/>
      <c r="G218" s="113">
        <v>0</v>
      </c>
      <c r="H218" s="113">
        <v>0</v>
      </c>
      <c r="I218" s="113">
        <v>0</v>
      </c>
      <c r="J218" s="7"/>
      <c r="K218" s="38">
        <v>0</v>
      </c>
      <c r="L218" s="38">
        <v>0</v>
      </c>
      <c r="M218" s="38">
        <v>0</v>
      </c>
      <c r="N218" s="7"/>
      <c r="O218" s="59">
        <v>0</v>
      </c>
      <c r="P218" s="7"/>
      <c r="Q218" s="7"/>
      <c r="R218" s="113">
        <v>0</v>
      </c>
      <c r="S218" s="113">
        <v>0</v>
      </c>
      <c r="T218" s="113">
        <v>0</v>
      </c>
      <c r="U218" s="7"/>
      <c r="V218" s="38"/>
      <c r="W218" s="38"/>
      <c r="X218" s="38"/>
    </row>
    <row r="219" spans="1:24" ht="12.75" customHeight="1">
      <c r="A219" s="7"/>
      <c r="B219" s="7"/>
      <c r="C219" s="36">
        <v>93</v>
      </c>
      <c r="D219" s="7"/>
      <c r="E219" s="14" t="s">
        <v>227</v>
      </c>
      <c r="F219" s="7"/>
      <c r="G219" s="113">
        <v>4800</v>
      </c>
      <c r="H219" s="113">
        <v>0</v>
      </c>
      <c r="I219" s="113">
        <f>+G219+H219</f>
        <v>4800</v>
      </c>
      <c r="J219" s="7"/>
      <c r="K219" s="38">
        <v>0</v>
      </c>
      <c r="L219" s="38">
        <v>0</v>
      </c>
      <c r="M219" s="38">
        <v>0</v>
      </c>
      <c r="N219" s="7"/>
      <c r="O219" s="59">
        <v>0</v>
      </c>
      <c r="P219" s="7"/>
      <c r="Q219" s="7"/>
      <c r="R219" s="113">
        <v>5200</v>
      </c>
      <c r="S219" s="113">
        <v>0</v>
      </c>
      <c r="T219" s="113">
        <v>5200</v>
      </c>
      <c r="U219" s="7"/>
      <c r="V219" s="38"/>
      <c r="W219" s="38"/>
      <c r="X219" s="38"/>
    </row>
    <row r="220" spans="1:24" ht="7.5" customHeight="1">
      <c r="A220" s="7"/>
      <c r="B220" s="7"/>
      <c r="C220" s="36"/>
      <c r="D220" s="7"/>
      <c r="E220" s="14"/>
      <c r="F220" s="7"/>
      <c r="G220" s="7"/>
      <c r="H220" s="7"/>
      <c r="I220" s="7"/>
      <c r="J220" s="7"/>
      <c r="K220" s="7"/>
      <c r="L220" s="7"/>
      <c r="M220" s="7"/>
      <c r="N220" s="7"/>
      <c r="O220" s="9"/>
      <c r="P220" s="7"/>
      <c r="Q220" s="7"/>
      <c r="R220" s="7"/>
      <c r="S220" s="7"/>
      <c r="T220" s="7"/>
      <c r="U220" s="7"/>
      <c r="V220" s="7"/>
      <c r="W220" s="7"/>
      <c r="X220" s="7"/>
    </row>
    <row r="221" spans="1:24" ht="7.5" customHeight="1">
      <c r="A221" s="7"/>
      <c r="B221" s="7"/>
      <c r="C221" s="36"/>
      <c r="D221" s="7"/>
      <c r="E221" s="14"/>
      <c r="F221" s="7"/>
      <c r="G221" s="7"/>
      <c r="H221" s="7"/>
      <c r="I221" s="7"/>
      <c r="J221" s="7"/>
      <c r="K221" s="7"/>
      <c r="L221" s="7"/>
      <c r="M221" s="7"/>
      <c r="N221" s="7"/>
      <c r="O221" s="9"/>
      <c r="P221" s="7"/>
      <c r="Q221" s="7"/>
      <c r="R221" s="7"/>
      <c r="S221" s="7"/>
      <c r="T221" s="7"/>
      <c r="U221" s="7"/>
      <c r="V221" s="7"/>
      <c r="W221" s="7"/>
      <c r="X221" s="7"/>
    </row>
    <row r="222" spans="1:24" ht="12.75" customHeight="1">
      <c r="A222" s="1"/>
      <c r="B222" s="1"/>
      <c r="C222" s="2"/>
      <c r="D222" s="1"/>
      <c r="E222" s="1"/>
      <c r="F222" s="1"/>
      <c r="G222" s="1"/>
      <c r="H222" s="375" t="s">
        <v>228</v>
      </c>
      <c r="I222" s="375"/>
      <c r="J222" s="375"/>
      <c r="K222" s="375"/>
      <c r="L222" s="1"/>
      <c r="M222" s="1"/>
      <c r="N222" s="1"/>
      <c r="O222" s="3"/>
      <c r="P222" s="1"/>
      <c r="Q222" s="1"/>
      <c r="R222" s="1"/>
      <c r="S222" s="375"/>
      <c r="T222" s="375"/>
      <c r="U222" s="375"/>
      <c r="V222" s="375"/>
      <c r="W222" s="1"/>
      <c r="X222" s="1"/>
    </row>
    <row r="223" spans="1:24" ht="10.5" customHeight="1" thickBot="1">
      <c r="A223" s="7"/>
      <c r="B223" s="7"/>
      <c r="C223" s="8"/>
      <c r="D223" s="7"/>
      <c r="E223" s="7"/>
      <c r="F223" s="7"/>
      <c r="G223" s="106"/>
      <c r="H223" s="106"/>
      <c r="I223" s="1"/>
      <c r="J223" s="7"/>
      <c r="K223" s="1"/>
      <c r="L223" s="1"/>
      <c r="M223" s="1"/>
      <c r="N223" s="7"/>
      <c r="O223" s="3"/>
      <c r="P223" s="7"/>
      <c r="Q223" s="7"/>
      <c r="R223" s="106"/>
      <c r="S223" s="106"/>
      <c r="T223" s="1"/>
      <c r="U223" s="7"/>
      <c r="V223" s="1"/>
      <c r="W223" s="1"/>
      <c r="X223" s="1"/>
    </row>
    <row r="224" spans="1:24" ht="12.75" customHeight="1">
      <c r="A224" s="122"/>
      <c r="B224" s="122"/>
      <c r="C224" s="315" t="s">
        <v>229</v>
      </c>
      <c r="D224" s="122"/>
      <c r="E224" s="411" t="s">
        <v>230</v>
      </c>
      <c r="F224" s="122"/>
      <c r="G224" s="376" t="s">
        <v>454</v>
      </c>
      <c r="H224" s="377"/>
      <c r="I224" s="378"/>
      <c r="J224" s="11"/>
      <c r="K224" s="400" t="s">
        <v>444</v>
      </c>
      <c r="L224" s="377"/>
      <c r="M224" s="378"/>
      <c r="N224" s="11"/>
      <c r="O224" s="12" t="s">
        <v>5</v>
      </c>
      <c r="P224" s="122"/>
      <c r="Q224" s="122"/>
      <c r="R224" s="376" t="s">
        <v>445</v>
      </c>
      <c r="S224" s="377"/>
      <c r="T224" s="378"/>
      <c r="U224" s="11"/>
      <c r="V224" s="382"/>
      <c r="W224" s="383"/>
      <c r="X224" s="383"/>
    </row>
    <row r="225" spans="1:24" ht="13.5" customHeight="1" thickBot="1">
      <c r="A225" s="122"/>
      <c r="B225" s="122"/>
      <c r="C225" s="316"/>
      <c r="D225" s="122"/>
      <c r="E225" s="410"/>
      <c r="F225" s="122"/>
      <c r="G225" s="379"/>
      <c r="H225" s="380"/>
      <c r="I225" s="381"/>
      <c r="J225" s="14"/>
      <c r="K225" s="379"/>
      <c r="L225" s="380"/>
      <c r="M225" s="381"/>
      <c r="N225" s="14"/>
      <c r="O225" s="16" t="s">
        <v>443</v>
      </c>
      <c r="P225" s="122"/>
      <c r="Q225" s="122"/>
      <c r="R225" s="379"/>
      <c r="S225" s="380"/>
      <c r="T225" s="381"/>
      <c r="U225" s="14"/>
      <c r="V225" s="383"/>
      <c r="W225" s="383"/>
      <c r="X225" s="383"/>
    </row>
    <row r="226" spans="1:24" ht="6" customHeight="1" thickBot="1">
      <c r="A226" s="7"/>
      <c r="B226" s="7"/>
      <c r="C226" s="8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9"/>
      <c r="P226" s="7"/>
      <c r="Q226" s="7"/>
      <c r="R226" s="7"/>
      <c r="S226" s="7"/>
      <c r="T226" s="7"/>
      <c r="U226" s="7"/>
      <c r="V226" s="321"/>
      <c r="W226" s="321"/>
      <c r="X226" s="321"/>
    </row>
    <row r="227" spans="1:24" ht="14.25" customHeight="1">
      <c r="A227" s="8"/>
      <c r="B227" s="8"/>
      <c r="C227" s="126">
        <v>1</v>
      </c>
      <c r="D227" s="127"/>
      <c r="E227" s="128" t="s">
        <v>231</v>
      </c>
      <c r="F227" s="8"/>
      <c r="G227" s="344">
        <f>+G10</f>
        <v>104740</v>
      </c>
      <c r="H227" s="345">
        <v>0</v>
      </c>
      <c r="I227" s="346">
        <f>G227+U233</f>
        <v>104740</v>
      </c>
      <c r="J227" s="8"/>
      <c r="K227" s="132" t="e">
        <f ca="1">K10</f>
        <v>#NAME?</v>
      </c>
      <c r="L227" s="133">
        <f>L10</f>
        <v>0</v>
      </c>
      <c r="M227" s="134" t="e">
        <f t="shared" ref="M227:M233" ca="1" si="127">L227+K227</f>
        <v>#NAME?</v>
      </c>
      <c r="N227" s="8"/>
      <c r="O227" s="135" t="e">
        <f t="shared" ref="O227:O228" ca="1" si="128">M227/I227</f>
        <v>#NAME?</v>
      </c>
      <c r="P227" s="8"/>
      <c r="Q227" s="8"/>
      <c r="R227" s="344">
        <v>100850</v>
      </c>
      <c r="S227" s="345">
        <v>0</v>
      </c>
      <c r="T227" s="346">
        <v>100850</v>
      </c>
      <c r="U227" s="8"/>
      <c r="V227" s="326"/>
      <c r="W227" s="326"/>
      <c r="X227" s="326"/>
    </row>
    <row r="228" spans="1:24" ht="18" customHeight="1">
      <c r="A228" s="8"/>
      <c r="B228" s="8"/>
      <c r="C228" s="141">
        <v>2</v>
      </c>
      <c r="D228" s="127"/>
      <c r="E228" s="142" t="s">
        <v>232</v>
      </c>
      <c r="F228" s="8"/>
      <c r="G228" s="347">
        <f>G43</f>
        <v>200385</v>
      </c>
      <c r="H228" s="348">
        <v>0</v>
      </c>
      <c r="I228" s="351">
        <f t="shared" ref="I228:I233" si="129">G228+U234</f>
        <v>200385</v>
      </c>
      <c r="J228" s="8"/>
      <c r="K228" s="146" t="e">
        <f ca="1">K43</f>
        <v>#NAME?</v>
      </c>
      <c r="L228" s="147">
        <f>L43</f>
        <v>0</v>
      </c>
      <c r="M228" s="148" t="e">
        <f t="shared" ca="1" si="127"/>
        <v>#NAME?</v>
      </c>
      <c r="N228" s="8"/>
      <c r="O228" s="149" t="e">
        <f t="shared" ca="1" si="128"/>
        <v>#NAME?</v>
      </c>
      <c r="P228" s="8"/>
      <c r="Q228" s="8"/>
      <c r="R228" s="347">
        <v>204250</v>
      </c>
      <c r="S228" s="348">
        <v>0</v>
      </c>
      <c r="T228" s="351">
        <v>204250</v>
      </c>
      <c r="U228" s="8"/>
      <c r="V228" s="326"/>
      <c r="W228" s="326"/>
      <c r="X228" s="326"/>
    </row>
    <row r="229" spans="1:24" ht="18" customHeight="1">
      <c r="A229" s="8"/>
      <c r="B229" s="8"/>
      <c r="C229" s="141">
        <v>3</v>
      </c>
      <c r="D229" s="127"/>
      <c r="E229" s="142" t="s">
        <v>235</v>
      </c>
      <c r="F229" s="8"/>
      <c r="G229" s="347">
        <v>0</v>
      </c>
      <c r="H229" s="348">
        <v>0</v>
      </c>
      <c r="I229" s="351">
        <f t="shared" si="129"/>
        <v>0</v>
      </c>
      <c r="J229" s="8"/>
      <c r="K229" s="146">
        <v>0</v>
      </c>
      <c r="L229" s="147">
        <v>0</v>
      </c>
      <c r="M229" s="148">
        <f t="shared" si="127"/>
        <v>0</v>
      </c>
      <c r="N229" s="8"/>
      <c r="O229" s="149">
        <v>0</v>
      </c>
      <c r="P229" s="8"/>
      <c r="Q229" s="8"/>
      <c r="R229" s="347">
        <v>0</v>
      </c>
      <c r="S229" s="348">
        <v>0</v>
      </c>
      <c r="T229" s="351">
        <v>0</v>
      </c>
      <c r="U229" s="8"/>
      <c r="V229" s="326"/>
      <c r="W229" s="326"/>
      <c r="X229" s="326"/>
    </row>
    <row r="230" spans="1:24" ht="18" customHeight="1">
      <c r="A230" s="8"/>
      <c r="B230" s="8"/>
      <c r="C230" s="141">
        <v>4</v>
      </c>
      <c r="D230" s="127"/>
      <c r="E230" s="142" t="s">
        <v>236</v>
      </c>
      <c r="F230" s="8"/>
      <c r="G230" s="347">
        <f>+G131</f>
        <v>9500</v>
      </c>
      <c r="H230" s="348">
        <v>0</v>
      </c>
      <c r="I230" s="351">
        <f t="shared" si="129"/>
        <v>9500</v>
      </c>
      <c r="J230" s="8"/>
      <c r="K230" s="146" t="e">
        <f ca="1">K131</f>
        <v>#NAME?</v>
      </c>
      <c r="L230" s="147">
        <f>L131</f>
        <v>0</v>
      </c>
      <c r="M230" s="148" t="e">
        <f t="shared" ca="1" si="127"/>
        <v>#NAME?</v>
      </c>
      <c r="N230" s="8"/>
      <c r="O230" s="149" t="e">
        <f t="shared" ref="O230:O231" ca="1" si="130">M230/I230</f>
        <v>#NAME?</v>
      </c>
      <c r="P230" s="8"/>
      <c r="Q230" s="8"/>
      <c r="R230" s="347">
        <v>9500</v>
      </c>
      <c r="S230" s="348">
        <v>0</v>
      </c>
      <c r="T230" s="351">
        <v>9500</v>
      </c>
      <c r="U230" s="8"/>
      <c r="V230" s="326"/>
      <c r="W230" s="326"/>
      <c r="X230" s="326"/>
    </row>
    <row r="231" spans="1:24" ht="18" customHeight="1">
      <c r="A231" s="8"/>
      <c r="B231" s="8"/>
      <c r="C231" s="141">
        <v>6</v>
      </c>
      <c r="D231" s="127"/>
      <c r="E231" s="142" t="s">
        <v>238</v>
      </c>
      <c r="F231" s="8"/>
      <c r="G231" s="347">
        <f>+G136</f>
        <v>56930</v>
      </c>
      <c r="H231" s="348">
        <f>+H140</f>
        <v>0</v>
      </c>
      <c r="I231" s="351">
        <f t="shared" si="129"/>
        <v>56930</v>
      </c>
      <c r="J231" s="8"/>
      <c r="K231" s="146" t="e">
        <f ca="1">K136</f>
        <v>#NAME?</v>
      </c>
      <c r="L231" s="147">
        <f>L136</f>
        <v>0</v>
      </c>
      <c r="M231" s="148" t="e">
        <f t="shared" ca="1" si="127"/>
        <v>#NAME?</v>
      </c>
      <c r="N231" s="8"/>
      <c r="O231" s="149" t="e">
        <f t="shared" ca="1" si="130"/>
        <v>#NAME?</v>
      </c>
      <c r="P231" s="8"/>
      <c r="Q231" s="8"/>
      <c r="R231" s="347">
        <v>25285.47</v>
      </c>
      <c r="S231" s="348">
        <v>0</v>
      </c>
      <c r="T231" s="351">
        <v>25285.47</v>
      </c>
      <c r="U231" s="8"/>
      <c r="V231" s="326"/>
      <c r="W231" s="326"/>
      <c r="X231" s="326"/>
    </row>
    <row r="232" spans="1:24" ht="18" customHeight="1">
      <c r="A232" s="8"/>
      <c r="B232" s="8"/>
      <c r="C232" s="141">
        <v>8</v>
      </c>
      <c r="D232" s="127"/>
      <c r="E232" s="142" t="s">
        <v>239</v>
      </c>
      <c r="F232" s="8"/>
      <c r="G232" s="347">
        <v>0</v>
      </c>
      <c r="H232" s="348">
        <v>0</v>
      </c>
      <c r="I232" s="351">
        <f t="shared" si="129"/>
        <v>0</v>
      </c>
      <c r="J232" s="8"/>
      <c r="K232" s="146">
        <v>0</v>
      </c>
      <c r="L232" s="147">
        <v>0</v>
      </c>
      <c r="M232" s="148">
        <f t="shared" si="127"/>
        <v>0</v>
      </c>
      <c r="N232" s="8"/>
      <c r="O232" s="149">
        <v>0</v>
      </c>
      <c r="P232" s="8"/>
      <c r="Q232" s="8"/>
      <c r="R232" s="347">
        <v>0</v>
      </c>
      <c r="S232" s="348">
        <v>0</v>
      </c>
      <c r="T232" s="351">
        <v>0</v>
      </c>
      <c r="U232" s="8"/>
      <c r="V232" s="326"/>
      <c r="W232" s="326"/>
      <c r="X232" s="326"/>
    </row>
    <row r="233" spans="1:24" ht="14.25" customHeight="1" thickBot="1">
      <c r="A233" s="8"/>
      <c r="B233" s="8"/>
      <c r="C233" s="153">
        <v>9</v>
      </c>
      <c r="D233" s="127"/>
      <c r="E233" s="154" t="s">
        <v>240</v>
      </c>
      <c r="F233" s="8"/>
      <c r="G233" s="349">
        <v>0</v>
      </c>
      <c r="H233" s="350">
        <v>0</v>
      </c>
      <c r="I233" s="373">
        <f t="shared" si="129"/>
        <v>0</v>
      </c>
      <c r="J233" s="8"/>
      <c r="K233" s="158">
        <v>0</v>
      </c>
      <c r="L233" s="159">
        <v>0</v>
      </c>
      <c r="M233" s="160">
        <f t="shared" si="127"/>
        <v>0</v>
      </c>
      <c r="N233" s="8"/>
      <c r="O233" s="161">
        <v>0</v>
      </c>
      <c r="P233" s="8"/>
      <c r="Q233" s="8"/>
      <c r="R233" s="349">
        <v>0</v>
      </c>
      <c r="S233" s="350">
        <v>0</v>
      </c>
      <c r="T233" s="373">
        <v>0</v>
      </c>
      <c r="U233" s="8"/>
      <c r="V233" s="326"/>
      <c r="W233" s="326"/>
      <c r="X233" s="326"/>
    </row>
    <row r="234" spans="1:24" ht="15" customHeight="1" thickBot="1">
      <c r="A234" s="7"/>
      <c r="B234" s="7"/>
      <c r="C234" s="165"/>
      <c r="D234" s="7"/>
      <c r="E234" s="166"/>
      <c r="F234" s="7"/>
      <c r="G234" s="167"/>
      <c r="H234" s="167"/>
      <c r="I234" s="167"/>
      <c r="J234" s="7"/>
      <c r="K234" s="167"/>
      <c r="L234" s="167"/>
      <c r="M234" s="167"/>
      <c r="N234" s="7"/>
      <c r="O234" s="168"/>
      <c r="P234" s="7"/>
      <c r="Q234" s="7"/>
      <c r="R234" s="167"/>
      <c r="S234" s="167"/>
      <c r="T234" s="167"/>
      <c r="U234" s="7"/>
      <c r="V234" s="327"/>
      <c r="W234" s="327"/>
      <c r="X234" s="327"/>
    </row>
    <row r="235" spans="1:24" ht="15.75" customHeight="1" thickBot="1">
      <c r="A235" s="7"/>
      <c r="B235" s="7"/>
      <c r="C235" s="165"/>
      <c r="D235" s="7"/>
      <c r="E235" s="166"/>
      <c r="F235" s="7"/>
      <c r="G235" s="361">
        <f t="shared" ref="G235:H235" si="131">SUM(G227:G233)</f>
        <v>371555</v>
      </c>
      <c r="H235" s="362">
        <f t="shared" si="131"/>
        <v>0</v>
      </c>
      <c r="I235" s="363">
        <f>SUM(G235:H235)</f>
        <v>371555</v>
      </c>
      <c r="J235" s="7"/>
      <c r="K235" s="174" t="e">
        <f t="shared" ref="K235:M235" ca="1" si="132">SUM(K227:K233)</f>
        <v>#NAME?</v>
      </c>
      <c r="L235" s="175">
        <f t="shared" si="132"/>
        <v>0</v>
      </c>
      <c r="M235" s="176" t="e">
        <f t="shared" ca="1" si="132"/>
        <v>#NAME?</v>
      </c>
      <c r="N235" s="7"/>
      <c r="O235" s="177" t="e">
        <f ca="1">M235/I235</f>
        <v>#NAME?</v>
      </c>
      <c r="P235" s="7"/>
      <c r="Q235" s="7"/>
      <c r="R235" s="361">
        <f t="shared" ref="R235:S235" si="133">SUM(R227:R233)</f>
        <v>339885.47</v>
      </c>
      <c r="S235" s="362">
        <f t="shared" si="133"/>
        <v>0</v>
      </c>
      <c r="T235" s="363">
        <f>SUM(R235:S235)</f>
        <v>339885.47</v>
      </c>
      <c r="U235" s="7"/>
      <c r="V235" s="327"/>
      <c r="W235" s="327"/>
      <c r="X235" s="327"/>
    </row>
    <row r="236" spans="1:24" ht="10.5" customHeight="1">
      <c r="A236" s="7"/>
      <c r="B236" s="7"/>
      <c r="C236" s="8"/>
      <c r="D236" s="7"/>
      <c r="E236" s="7"/>
      <c r="F236" s="7"/>
      <c r="G236" s="106"/>
      <c r="H236" s="106"/>
      <c r="I236" s="1"/>
      <c r="J236" s="7"/>
      <c r="K236" s="313"/>
      <c r="L236" s="1"/>
      <c r="M236" s="1"/>
      <c r="N236" s="7"/>
      <c r="O236" s="3"/>
      <c r="P236" s="7"/>
      <c r="Q236" s="7"/>
      <c r="R236" s="106"/>
      <c r="S236" s="106"/>
      <c r="T236" s="1"/>
      <c r="U236" s="7"/>
      <c r="V236" s="313"/>
      <c r="W236" s="1"/>
      <c r="X236" s="1"/>
    </row>
    <row r="237" spans="1:24" ht="40.5" customHeight="1">
      <c r="A237" s="7"/>
      <c r="B237" s="7"/>
      <c r="C237" s="8"/>
      <c r="D237" s="7"/>
      <c r="E237" s="7"/>
      <c r="F237" s="7"/>
      <c r="G237" s="106"/>
      <c r="H237" s="375" t="s">
        <v>241</v>
      </c>
      <c r="I237" s="375"/>
      <c r="J237" s="375"/>
      <c r="K237" s="375"/>
      <c r="L237" s="1"/>
      <c r="M237" s="1"/>
      <c r="N237" s="7"/>
      <c r="O237" s="3"/>
      <c r="P237" s="7"/>
      <c r="Q237" s="7"/>
      <c r="R237" s="106"/>
      <c r="S237" s="375"/>
      <c r="T237" s="375"/>
      <c r="U237" s="375"/>
      <c r="V237" s="375"/>
      <c r="W237" s="1"/>
      <c r="X237" s="1"/>
    </row>
    <row r="238" spans="1:24" ht="10.5" customHeight="1" thickBot="1">
      <c r="A238" s="7"/>
      <c r="B238" s="7"/>
      <c r="C238" s="8"/>
      <c r="D238" s="7"/>
      <c r="E238" s="7"/>
      <c r="F238" s="7"/>
      <c r="G238" s="106"/>
      <c r="H238" s="106"/>
      <c r="I238" s="1"/>
      <c r="J238" s="7"/>
      <c r="K238" s="1"/>
      <c r="L238" s="1"/>
      <c r="M238" s="1"/>
      <c r="N238" s="7"/>
      <c r="O238" s="3"/>
      <c r="P238" s="7"/>
      <c r="Q238" s="7"/>
      <c r="R238" s="106"/>
      <c r="S238" s="106"/>
      <c r="T238" s="1"/>
      <c r="U238" s="7"/>
      <c r="V238" s="1"/>
      <c r="W238" s="1"/>
      <c r="X238" s="1"/>
    </row>
    <row r="239" spans="1:24" ht="12.75" customHeight="1">
      <c r="A239" s="122"/>
      <c r="B239" s="122"/>
      <c r="C239" s="315" t="s">
        <v>229</v>
      </c>
      <c r="D239" s="122"/>
      <c r="E239" s="411" t="s">
        <v>230</v>
      </c>
      <c r="F239" s="122"/>
      <c r="G239" s="376" t="s">
        <v>454</v>
      </c>
      <c r="H239" s="377"/>
      <c r="I239" s="378"/>
      <c r="J239" s="11"/>
      <c r="K239" s="400" t="s">
        <v>444</v>
      </c>
      <c r="L239" s="377"/>
      <c r="M239" s="378"/>
      <c r="N239" s="11"/>
      <c r="O239" s="12" t="s">
        <v>5</v>
      </c>
      <c r="P239" s="122"/>
      <c r="Q239" s="122"/>
      <c r="R239" s="376" t="s">
        <v>445</v>
      </c>
      <c r="S239" s="377"/>
      <c r="T239" s="378"/>
      <c r="U239" s="11"/>
      <c r="V239" s="382"/>
      <c r="W239" s="383"/>
      <c r="X239" s="383"/>
    </row>
    <row r="240" spans="1:24" ht="13.5" customHeight="1" thickBot="1">
      <c r="A240" s="122"/>
      <c r="B240" s="122"/>
      <c r="C240" s="316"/>
      <c r="D240" s="122"/>
      <c r="E240" s="410"/>
      <c r="F240" s="122"/>
      <c r="G240" s="379"/>
      <c r="H240" s="380"/>
      <c r="I240" s="381"/>
      <c r="J240" s="14"/>
      <c r="K240" s="379"/>
      <c r="L240" s="380"/>
      <c r="M240" s="381"/>
      <c r="N240" s="14"/>
      <c r="O240" s="16" t="s">
        <v>443</v>
      </c>
      <c r="P240" s="122"/>
      <c r="Q240" s="122"/>
      <c r="R240" s="379"/>
      <c r="S240" s="380"/>
      <c r="T240" s="381"/>
      <c r="U240" s="14"/>
      <c r="V240" s="383"/>
      <c r="W240" s="383"/>
      <c r="X240" s="383"/>
    </row>
    <row r="241" spans="1:24" ht="6" customHeight="1" thickBot="1">
      <c r="A241" s="7"/>
      <c r="B241" s="7"/>
      <c r="C241" s="8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9"/>
      <c r="P241" s="7"/>
      <c r="Q241" s="7"/>
      <c r="R241" s="7"/>
      <c r="S241" s="7"/>
      <c r="T241" s="7"/>
      <c r="U241" s="7"/>
      <c r="V241" s="321"/>
      <c r="W241" s="321"/>
      <c r="X241" s="321"/>
    </row>
    <row r="242" spans="1:24" ht="14.25" customHeight="1">
      <c r="A242" s="8"/>
      <c r="B242" s="8"/>
      <c r="C242" s="126">
        <v>1</v>
      </c>
      <c r="D242" s="127"/>
      <c r="E242" s="128" t="s">
        <v>242</v>
      </c>
      <c r="F242" s="8"/>
      <c r="G242" s="344">
        <f>+G174</f>
        <v>42000</v>
      </c>
      <c r="H242" s="345">
        <v>0</v>
      </c>
      <c r="I242" s="346">
        <f>G242+H242</f>
        <v>42000</v>
      </c>
      <c r="J242" s="8"/>
      <c r="K242" s="132" t="e">
        <f ca="1">K174</f>
        <v>#NAME?</v>
      </c>
      <c r="L242" s="133">
        <v>0</v>
      </c>
      <c r="M242" s="134" t="e">
        <f t="shared" ref="M242:M244" ca="1" si="134">K242+L242</f>
        <v>#NAME?</v>
      </c>
      <c r="N242" s="8"/>
      <c r="O242" s="135" t="e">
        <f t="shared" ref="O242:O243" ca="1" si="135">M242/I242</f>
        <v>#NAME?</v>
      </c>
      <c r="P242" s="8"/>
      <c r="Q242" s="8"/>
      <c r="R242" s="344">
        <v>41000</v>
      </c>
      <c r="S242" s="345">
        <v>0</v>
      </c>
      <c r="T242" s="346">
        <v>41000</v>
      </c>
      <c r="U242" s="8"/>
      <c r="V242" s="326"/>
      <c r="W242" s="326"/>
      <c r="X242" s="326"/>
    </row>
    <row r="243" spans="1:24" ht="18" customHeight="1">
      <c r="A243" s="8"/>
      <c r="B243" s="8"/>
      <c r="C243" s="141">
        <v>3</v>
      </c>
      <c r="D243" s="127"/>
      <c r="E243" s="142" t="s">
        <v>243</v>
      </c>
      <c r="F243" s="8"/>
      <c r="G243" s="347">
        <f>+G180</f>
        <v>323855</v>
      </c>
      <c r="H243" s="348">
        <v>0</v>
      </c>
      <c r="I243" s="351">
        <f>G243+H243</f>
        <v>323855</v>
      </c>
      <c r="J243" s="8"/>
      <c r="K243" s="146" t="e">
        <f ca="1">K180</f>
        <v>#NAME?</v>
      </c>
      <c r="L243" s="147">
        <v>0</v>
      </c>
      <c r="M243" s="148" t="e">
        <f t="shared" ca="1" si="134"/>
        <v>#NAME?</v>
      </c>
      <c r="N243" s="8"/>
      <c r="O243" s="149" t="e">
        <f t="shared" ca="1" si="135"/>
        <v>#NAME?</v>
      </c>
      <c r="P243" s="8"/>
      <c r="Q243" s="8"/>
      <c r="R243" s="347">
        <v>293085.46999999997</v>
      </c>
      <c r="S243" s="348">
        <v>0</v>
      </c>
      <c r="T243" s="351">
        <v>293085.46999999997</v>
      </c>
      <c r="U243" s="8"/>
      <c r="V243" s="326"/>
      <c r="W243" s="326"/>
      <c r="X243" s="326"/>
    </row>
    <row r="244" spans="1:24" ht="18" customHeight="1">
      <c r="A244" s="8"/>
      <c r="B244" s="8"/>
      <c r="C244" s="141">
        <v>4</v>
      </c>
      <c r="D244" s="127"/>
      <c r="E244" s="142" t="s">
        <v>236</v>
      </c>
      <c r="F244" s="8"/>
      <c r="G244" s="347">
        <v>0</v>
      </c>
      <c r="H244" s="348">
        <v>0</v>
      </c>
      <c r="I244" s="351">
        <v>0</v>
      </c>
      <c r="J244" s="8"/>
      <c r="K244" s="146">
        <f>+K201</f>
        <v>0</v>
      </c>
      <c r="L244" s="147">
        <v>0</v>
      </c>
      <c r="M244" s="148">
        <f t="shared" si="134"/>
        <v>0</v>
      </c>
      <c r="N244" s="8"/>
      <c r="O244" s="149">
        <v>0</v>
      </c>
      <c r="P244" s="8"/>
      <c r="Q244" s="8"/>
      <c r="R244" s="347">
        <v>0</v>
      </c>
      <c r="S244" s="348">
        <v>0</v>
      </c>
      <c r="T244" s="351">
        <v>0</v>
      </c>
      <c r="U244" s="8"/>
      <c r="V244" s="326"/>
      <c r="W244" s="326"/>
      <c r="X244" s="326"/>
    </row>
    <row r="245" spans="1:24" ht="18" customHeight="1">
      <c r="A245" s="8"/>
      <c r="B245" s="8"/>
      <c r="C245" s="141">
        <v>5</v>
      </c>
      <c r="D245" s="127"/>
      <c r="E245" s="142" t="s">
        <v>244</v>
      </c>
      <c r="F245" s="8"/>
      <c r="G245" s="352">
        <f>G203</f>
        <v>900</v>
      </c>
      <c r="H245" s="353">
        <v>0</v>
      </c>
      <c r="I245" s="354">
        <f>I203</f>
        <v>900</v>
      </c>
      <c r="J245" s="8"/>
      <c r="K245" s="146" t="e">
        <f ca="1">K203</f>
        <v>#NAME?</v>
      </c>
      <c r="L245" s="147">
        <v>0</v>
      </c>
      <c r="M245" s="148" t="e">
        <f ca="1">K245+L245</f>
        <v>#NAME?</v>
      </c>
      <c r="N245" s="8"/>
      <c r="O245" s="149">
        <v>0</v>
      </c>
      <c r="P245" s="8"/>
      <c r="Q245" s="8"/>
      <c r="R245" s="352">
        <v>600</v>
      </c>
      <c r="S245" s="353">
        <v>0</v>
      </c>
      <c r="T245" s="354">
        <v>600</v>
      </c>
      <c r="U245" s="8"/>
      <c r="V245" s="326"/>
      <c r="W245" s="326"/>
      <c r="X245" s="326"/>
    </row>
    <row r="246" spans="1:24" ht="18" customHeight="1">
      <c r="A246" s="8"/>
      <c r="B246" s="8"/>
      <c r="C246" s="141">
        <v>8</v>
      </c>
      <c r="D246" s="127"/>
      <c r="E246" s="142" t="s">
        <v>239</v>
      </c>
      <c r="F246" s="8"/>
      <c r="G246" s="347">
        <f>G210</f>
        <v>0</v>
      </c>
      <c r="H246" s="348">
        <v>0</v>
      </c>
      <c r="I246" s="351">
        <f>I210</f>
        <v>0</v>
      </c>
      <c r="J246" s="8"/>
      <c r="K246" s="146">
        <f>K210</f>
        <v>0</v>
      </c>
      <c r="L246" s="147">
        <v>0</v>
      </c>
      <c r="M246" s="148">
        <v>0</v>
      </c>
      <c r="N246" s="8"/>
      <c r="O246" s="149">
        <v>0</v>
      </c>
      <c r="P246" s="8"/>
      <c r="Q246" s="8"/>
      <c r="R246" s="347">
        <v>0</v>
      </c>
      <c r="S246" s="348">
        <v>0</v>
      </c>
      <c r="T246" s="351">
        <v>0</v>
      </c>
      <c r="U246" s="8"/>
      <c r="V246" s="326"/>
      <c r="W246" s="326"/>
      <c r="X246" s="326"/>
    </row>
    <row r="247" spans="1:24" ht="18" customHeight="1" thickBot="1">
      <c r="A247" s="8"/>
      <c r="B247" s="8"/>
      <c r="C247" s="369">
        <v>9</v>
      </c>
      <c r="D247" s="127"/>
      <c r="E247" s="370" t="s">
        <v>240</v>
      </c>
      <c r="F247" s="8"/>
      <c r="G247" s="371">
        <f>G216</f>
        <v>4800</v>
      </c>
      <c r="H247" s="350">
        <v>0</v>
      </c>
      <c r="I247" s="372">
        <f>I216</f>
        <v>4800</v>
      </c>
      <c r="J247" s="8"/>
      <c r="K247" s="146">
        <f>K216</f>
        <v>0</v>
      </c>
      <c r="L247" s="147">
        <v>0</v>
      </c>
      <c r="M247" s="148">
        <v>0</v>
      </c>
      <c r="N247" s="8"/>
      <c r="O247" s="149">
        <v>0</v>
      </c>
      <c r="P247" s="8"/>
      <c r="Q247" s="8"/>
      <c r="R247" s="371">
        <v>5200</v>
      </c>
      <c r="S247" s="350">
        <v>0</v>
      </c>
      <c r="T247" s="372">
        <v>5200</v>
      </c>
      <c r="U247" s="8"/>
      <c r="V247" s="326"/>
      <c r="W247" s="326"/>
      <c r="X247" s="326"/>
    </row>
    <row r="248" spans="1:24" ht="8.25" customHeight="1" thickBot="1">
      <c r="A248" s="7"/>
      <c r="B248" s="7"/>
      <c r="C248" s="165"/>
      <c r="D248" s="7"/>
      <c r="E248" s="166"/>
      <c r="F248" s="7"/>
      <c r="P248" s="7"/>
      <c r="Q248" s="7"/>
      <c r="V248" s="328"/>
      <c r="W248" s="328"/>
      <c r="X248" s="328"/>
    </row>
    <row r="249" spans="1:24" ht="15.75" customHeight="1" thickBot="1">
      <c r="A249" s="7"/>
      <c r="B249" s="7"/>
      <c r="C249" s="165"/>
      <c r="D249" s="7"/>
      <c r="E249" s="166"/>
      <c r="F249" s="7"/>
      <c r="G249" s="358">
        <f>SUM(G242:G247)</f>
        <v>371555</v>
      </c>
      <c r="H249" s="359">
        <f>SUM(H242:H247)</f>
        <v>0</v>
      </c>
      <c r="I249" s="360">
        <f>SUM(G249:H249)</f>
        <v>371555</v>
      </c>
      <c r="J249" s="7"/>
      <c r="K249" s="174" t="e">
        <f ca="1">SUM(K242:K247)</f>
        <v>#NAME?</v>
      </c>
      <c r="L249" s="175">
        <f>SUM(L242:L247)</f>
        <v>0</v>
      </c>
      <c r="M249" s="176" t="e">
        <f ca="1">L249+K248:K249</f>
        <v>#NAME?</v>
      </c>
      <c r="N249" s="7"/>
      <c r="O249" s="177" t="e">
        <f ca="1">M249/I249</f>
        <v>#NAME?</v>
      </c>
      <c r="P249" s="7"/>
      <c r="Q249" s="7"/>
      <c r="R249" s="358">
        <f>SUM(R242:R247)</f>
        <v>339885.47</v>
      </c>
      <c r="S249" s="359">
        <f>SUM(S242:S247)</f>
        <v>0</v>
      </c>
      <c r="T249" s="360">
        <f>SUM(R249:S249)</f>
        <v>339885.47</v>
      </c>
      <c r="U249" s="7"/>
      <c r="V249" s="327"/>
      <c r="W249" s="327"/>
      <c r="X249" s="327"/>
    </row>
    <row r="250" spans="1:24" ht="10.5" customHeight="1">
      <c r="A250" s="7"/>
      <c r="B250" s="7"/>
      <c r="C250" s="8"/>
      <c r="D250" s="7"/>
      <c r="E250" s="7"/>
      <c r="F250" s="7"/>
      <c r="G250" s="106"/>
      <c r="H250" s="106"/>
      <c r="I250" s="1"/>
      <c r="J250" s="7"/>
      <c r="K250" s="1"/>
      <c r="L250" s="1"/>
      <c r="M250" s="1"/>
      <c r="N250" s="7"/>
      <c r="O250" s="3"/>
      <c r="P250" s="7"/>
      <c r="Q250" s="7"/>
      <c r="R250" s="106"/>
      <c r="S250" s="106"/>
      <c r="T250" s="1"/>
      <c r="U250" s="7"/>
      <c r="V250" s="1"/>
      <c r="W250" s="1"/>
      <c r="X250" s="1"/>
    </row>
    <row r="251" spans="1:24" ht="15.75" customHeight="1">
      <c r="A251" s="7"/>
      <c r="B251" s="7"/>
      <c r="C251" s="165"/>
      <c r="D251" s="7"/>
      <c r="E251" s="166"/>
      <c r="F251" s="7"/>
      <c r="G251" s="167"/>
      <c r="H251" s="167"/>
      <c r="I251" s="167"/>
      <c r="J251" s="7"/>
      <c r="K251" s="167"/>
      <c r="L251" s="167"/>
      <c r="M251" s="167"/>
      <c r="N251" s="7"/>
      <c r="O251" s="168"/>
      <c r="P251" s="7"/>
      <c r="Q251" s="7"/>
      <c r="R251" s="167"/>
      <c r="S251" s="167"/>
      <c r="T251" s="167"/>
      <c r="U251" s="7"/>
      <c r="V251" s="167"/>
      <c r="W251" s="167"/>
      <c r="X251" s="167"/>
    </row>
    <row r="252" spans="1:24" ht="15.75" customHeight="1">
      <c r="A252" s="7"/>
      <c r="B252" s="7"/>
      <c r="C252" s="165"/>
      <c r="D252" s="7"/>
      <c r="E252" s="166"/>
      <c r="F252" s="7"/>
      <c r="G252" s="167"/>
      <c r="H252" s="167"/>
      <c r="I252" s="367" t="s">
        <v>245</v>
      </c>
      <c r="J252" s="367"/>
      <c r="K252" s="367"/>
      <c r="L252" s="167"/>
      <c r="M252" s="167"/>
      <c r="N252" s="7"/>
      <c r="O252" s="168"/>
      <c r="P252" s="7"/>
      <c r="Q252" s="7"/>
      <c r="R252" s="167"/>
      <c r="S252" s="167"/>
      <c r="T252" s="375"/>
      <c r="U252" s="375"/>
      <c r="V252" s="375"/>
      <c r="W252" s="167"/>
      <c r="X252" s="167"/>
    </row>
    <row r="253" spans="1:24" ht="8.25" customHeight="1" thickBot="1">
      <c r="A253" s="7"/>
      <c r="B253" s="7"/>
      <c r="C253" s="165"/>
      <c r="D253" s="7"/>
      <c r="E253" s="166"/>
      <c r="F253" s="7"/>
      <c r="G253" s="181"/>
      <c r="H253" s="181"/>
      <c r="I253" s="181"/>
      <c r="J253" s="7"/>
      <c r="K253" s="181"/>
      <c r="L253" s="181"/>
      <c r="M253" s="181"/>
      <c r="N253" s="7"/>
      <c r="O253" s="181"/>
      <c r="P253" s="7"/>
      <c r="Q253" s="7"/>
      <c r="R253" s="181"/>
      <c r="S253" s="181"/>
      <c r="T253" s="181"/>
      <c r="U253" s="7"/>
      <c r="V253" s="181"/>
      <c r="W253" s="181"/>
      <c r="X253" s="181"/>
    </row>
    <row r="254" spans="1:24" ht="12.75" customHeight="1">
      <c r="A254" s="182"/>
      <c r="B254" s="182"/>
      <c r="C254" s="124"/>
      <c r="D254" s="183"/>
      <c r="E254" s="412" t="s">
        <v>180</v>
      </c>
      <c r="F254" s="183"/>
      <c r="G254" s="384" t="s">
        <v>6</v>
      </c>
      <c r="H254" s="386" t="s">
        <v>7</v>
      </c>
      <c r="I254" s="388" t="s">
        <v>454</v>
      </c>
      <c r="J254" s="11"/>
      <c r="K254" s="400" t="s">
        <v>444</v>
      </c>
      <c r="L254" s="377"/>
      <c r="M254" s="378"/>
      <c r="N254" s="11"/>
      <c r="O254" s="12" t="s">
        <v>5</v>
      </c>
      <c r="P254" s="183"/>
      <c r="Q254" s="187"/>
      <c r="R254" s="384" t="s">
        <v>6</v>
      </c>
      <c r="S254" s="386" t="s">
        <v>7</v>
      </c>
      <c r="T254" s="388" t="s">
        <v>445</v>
      </c>
      <c r="U254" s="11"/>
      <c r="V254" s="382"/>
      <c r="W254" s="383"/>
      <c r="X254" s="383"/>
    </row>
    <row r="255" spans="1:24" ht="24.75" customHeight="1" thickBot="1">
      <c r="A255" s="182"/>
      <c r="B255" s="182"/>
      <c r="C255" s="124"/>
      <c r="D255" s="183"/>
      <c r="E255" s="399"/>
      <c r="F255" s="183"/>
      <c r="G255" s="385"/>
      <c r="H255" s="387"/>
      <c r="I255" s="389"/>
      <c r="J255" s="14"/>
      <c r="K255" s="379"/>
      <c r="L255" s="380"/>
      <c r="M255" s="381"/>
      <c r="N255" s="14"/>
      <c r="O255" s="16" t="s">
        <v>443</v>
      </c>
      <c r="P255" s="183"/>
      <c r="Q255" s="184"/>
      <c r="R255" s="385"/>
      <c r="S255" s="387"/>
      <c r="T255" s="389"/>
      <c r="U255" s="14"/>
      <c r="V255" s="383"/>
      <c r="W255" s="383"/>
      <c r="X255" s="383"/>
    </row>
    <row r="256" spans="1:24" ht="6" customHeight="1" thickBot="1">
      <c r="A256" s="7"/>
      <c r="B256" s="7"/>
      <c r="C256" s="8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9"/>
      <c r="P256" s="7"/>
      <c r="Q256" s="7"/>
      <c r="R256" s="7"/>
      <c r="S256" s="7"/>
      <c r="T256" s="7"/>
      <c r="U256" s="7"/>
      <c r="V256" s="321"/>
      <c r="W256" s="321"/>
      <c r="X256" s="321"/>
    </row>
    <row r="257" spans="1:24" ht="18" customHeight="1">
      <c r="A257" s="8"/>
      <c r="B257" s="8"/>
      <c r="C257" s="36"/>
      <c r="D257" s="127"/>
      <c r="E257" s="128" t="s">
        <v>246</v>
      </c>
      <c r="F257" s="8"/>
      <c r="G257" s="344">
        <f>+G235</f>
        <v>371555</v>
      </c>
      <c r="H257" s="345">
        <f>+H235</f>
        <v>0</v>
      </c>
      <c r="I257" s="346">
        <f>+I235</f>
        <v>371555</v>
      </c>
      <c r="J257" s="8"/>
      <c r="K257" s="132" t="e">
        <f ca="1">K235</f>
        <v>#NAME?</v>
      </c>
      <c r="L257" s="133">
        <v>0</v>
      </c>
      <c r="M257" s="134" t="e">
        <f t="shared" ref="M257:M258" ca="1" si="136">K257+L257</f>
        <v>#NAME?</v>
      </c>
      <c r="N257" s="8"/>
      <c r="O257" s="135" t="e">
        <f t="shared" ref="O257:O258" ca="1" si="137">M257/I257</f>
        <v>#NAME?</v>
      </c>
      <c r="P257" s="8"/>
      <c r="Q257" s="8"/>
      <c r="R257" s="344">
        <f>+R235</f>
        <v>339885.47</v>
      </c>
      <c r="S257" s="345">
        <f>+S235</f>
        <v>0</v>
      </c>
      <c r="T257" s="346">
        <f>+T235</f>
        <v>339885.47</v>
      </c>
      <c r="U257" s="8"/>
      <c r="V257" s="326"/>
      <c r="W257" s="326"/>
      <c r="X257" s="326"/>
    </row>
    <row r="258" spans="1:24" ht="18" customHeight="1" thickBot="1">
      <c r="A258" s="8"/>
      <c r="B258" s="8"/>
      <c r="C258" s="36"/>
      <c r="D258" s="127"/>
      <c r="E258" s="154" t="s">
        <v>247</v>
      </c>
      <c r="F258" s="8"/>
      <c r="G258" s="355">
        <f>+G249</f>
        <v>371555</v>
      </c>
      <c r="H258" s="356">
        <v>0</v>
      </c>
      <c r="I258" s="357">
        <f>+I249</f>
        <v>371555</v>
      </c>
      <c r="J258" s="8"/>
      <c r="K258" s="158" t="e">
        <f ca="1">K249</f>
        <v>#NAME?</v>
      </c>
      <c r="L258" s="159">
        <v>0</v>
      </c>
      <c r="M258" s="160" t="e">
        <f t="shared" ca="1" si="136"/>
        <v>#NAME?</v>
      </c>
      <c r="N258" s="8"/>
      <c r="O258" s="161" t="e">
        <f t="shared" ca="1" si="137"/>
        <v>#NAME?</v>
      </c>
      <c r="P258" s="8"/>
      <c r="Q258" s="8"/>
      <c r="R258" s="355">
        <f>+R249</f>
        <v>339885.47</v>
      </c>
      <c r="S258" s="356">
        <v>0</v>
      </c>
      <c r="T258" s="357">
        <f>+T249</f>
        <v>339885.47</v>
      </c>
      <c r="U258" s="8"/>
      <c r="V258" s="326"/>
      <c r="W258" s="326"/>
      <c r="X258" s="326"/>
    </row>
    <row r="259" spans="1:24" ht="8.25" customHeight="1" thickBot="1">
      <c r="A259" s="7"/>
      <c r="B259" s="7"/>
      <c r="C259" s="165"/>
      <c r="D259" s="7"/>
      <c r="E259" s="166"/>
      <c r="F259" s="7"/>
      <c r="P259" s="7"/>
      <c r="Q259" s="7"/>
      <c r="V259" s="328"/>
      <c r="W259" s="328"/>
      <c r="X259" s="328"/>
    </row>
    <row r="260" spans="1:24" ht="19.5" customHeight="1" thickBot="1">
      <c r="A260" s="8"/>
      <c r="B260" s="8"/>
      <c r="C260" s="36"/>
      <c r="D260" s="127"/>
      <c r="E260" s="189" t="s">
        <v>425</v>
      </c>
      <c r="F260" s="8"/>
      <c r="G260" s="364">
        <v>0</v>
      </c>
      <c r="H260" s="365">
        <f>+H258-H257</f>
        <v>0</v>
      </c>
      <c r="I260" s="366">
        <f>+I258-I257</f>
        <v>0</v>
      </c>
      <c r="J260" s="35"/>
      <c r="K260" s="193" t="e">
        <f ca="1">K258-K257</f>
        <v>#NAME?</v>
      </c>
      <c r="L260" s="194">
        <v>0</v>
      </c>
      <c r="M260" s="195" t="e">
        <f ca="1">M258-M257</f>
        <v>#NAME?</v>
      </c>
      <c r="N260" s="35"/>
      <c r="O260" s="196" t="e">
        <f ca="1">O258-O257</f>
        <v>#NAME?</v>
      </c>
      <c r="P260" s="8"/>
      <c r="Q260" s="8"/>
      <c r="R260" s="364">
        <v>0</v>
      </c>
      <c r="S260" s="365">
        <f>+S258-S257</f>
        <v>0</v>
      </c>
      <c r="T260" s="366">
        <f>+T258-T257</f>
        <v>0</v>
      </c>
      <c r="U260" s="35"/>
      <c r="V260" s="329"/>
      <c r="W260" s="329"/>
      <c r="X260" s="329"/>
    </row>
    <row r="261" spans="1:24" ht="10.5" customHeight="1">
      <c r="A261" s="7"/>
      <c r="B261" s="7"/>
      <c r="C261" s="8"/>
      <c r="D261" s="7"/>
      <c r="E261" s="7"/>
      <c r="F261" s="7"/>
      <c r="G261" s="106"/>
      <c r="H261" s="106"/>
      <c r="I261" s="1"/>
      <c r="J261" s="7"/>
      <c r="K261" s="1"/>
      <c r="L261" s="1"/>
      <c r="M261" s="1"/>
      <c r="N261" s="7"/>
      <c r="O261" s="3"/>
      <c r="P261" s="7"/>
      <c r="Q261" s="7"/>
      <c r="R261" s="106"/>
      <c r="S261" s="106"/>
      <c r="T261" s="1"/>
      <c r="U261" s="7"/>
      <c r="V261" s="330"/>
      <c r="W261" s="330"/>
      <c r="X261" s="330"/>
    </row>
    <row r="262" spans="1:24">
      <c r="A262" s="197"/>
      <c r="B262" s="197"/>
      <c r="C262" s="198"/>
      <c r="D262" s="87"/>
      <c r="E262" s="166"/>
      <c r="F262" s="87"/>
      <c r="G262" s="112"/>
      <c r="H262" s="112"/>
      <c r="I262" s="112"/>
      <c r="J262" s="87"/>
      <c r="K262" s="112"/>
      <c r="L262" s="112"/>
      <c r="M262" s="112"/>
      <c r="N262" s="87"/>
      <c r="O262" s="168"/>
      <c r="P262" s="87"/>
      <c r="Q262" s="7"/>
      <c r="R262" s="1"/>
      <c r="S262" s="1"/>
    </row>
    <row r="263" spans="1:24" ht="12.75" customHeight="1">
      <c r="A263" s="7"/>
      <c r="B263" s="7"/>
      <c r="C263" s="18"/>
      <c r="D263" s="7"/>
      <c r="E263" s="413"/>
      <c r="F263" s="7"/>
      <c r="G263" s="90"/>
      <c r="H263" s="90"/>
      <c r="I263" s="407"/>
      <c r="J263" s="7"/>
      <c r="K263" s="90"/>
      <c r="L263" s="90"/>
      <c r="M263" s="90"/>
      <c r="N263" s="7"/>
      <c r="O263" s="200"/>
      <c r="P263" s="7"/>
      <c r="Q263" s="7"/>
      <c r="R263" s="1"/>
      <c r="S263" s="1"/>
    </row>
    <row r="264" spans="1:24" ht="12.75" customHeight="1">
      <c r="A264" s="7"/>
      <c r="B264" s="7"/>
      <c r="D264" s="7"/>
      <c r="E264" s="408"/>
      <c r="F264" s="7"/>
      <c r="G264" s="90"/>
      <c r="H264" s="90"/>
      <c r="I264" s="408"/>
      <c r="J264" s="7"/>
      <c r="K264" s="90"/>
      <c r="L264" s="90"/>
      <c r="M264" s="90"/>
      <c r="N264" s="7"/>
      <c r="O264" s="200"/>
      <c r="P264" s="7"/>
      <c r="Q264" s="7"/>
      <c r="R264" s="1"/>
      <c r="S264" s="1"/>
    </row>
    <row r="265" spans="1:24" ht="12.75" customHeight="1">
      <c r="A265" s="7"/>
      <c r="B265" s="7"/>
      <c r="C265" s="8"/>
      <c r="D265" s="7"/>
      <c r="E265" s="7"/>
      <c r="F265" s="7"/>
      <c r="G265" s="44"/>
      <c r="H265" s="44"/>
      <c r="I265" s="44"/>
      <c r="J265" s="7"/>
      <c r="K265" s="44"/>
      <c r="L265" s="44"/>
      <c r="M265" s="44"/>
      <c r="N265" s="7"/>
      <c r="O265" s="73"/>
      <c r="P265" s="7"/>
      <c r="Q265" s="7"/>
      <c r="R265" s="1"/>
      <c r="S265" s="1"/>
    </row>
    <row r="266" spans="1:24">
      <c r="A266" s="7"/>
      <c r="B266" s="7"/>
      <c r="C266" s="201"/>
      <c r="D266" s="7"/>
      <c r="E266" s="202"/>
      <c r="F266" s="7"/>
      <c r="G266" s="203"/>
      <c r="H266" s="203"/>
      <c r="I266" s="203"/>
      <c r="J266" s="7"/>
      <c r="K266" s="203"/>
      <c r="L266" s="203"/>
      <c r="M266" s="203"/>
      <c r="N266" s="7"/>
      <c r="O266" s="204"/>
      <c r="P266" s="7"/>
      <c r="Q266" s="7"/>
      <c r="R266" s="1"/>
      <c r="S266" s="1"/>
    </row>
    <row r="267" spans="1:24" ht="6" customHeight="1">
      <c r="A267" s="7"/>
      <c r="B267" s="7"/>
      <c r="C267" s="8"/>
      <c r="D267" s="7"/>
      <c r="E267" s="7"/>
      <c r="F267" s="7"/>
      <c r="G267" s="44"/>
      <c r="H267" s="44"/>
      <c r="I267" s="44"/>
      <c r="J267" s="7"/>
      <c r="K267" s="44"/>
      <c r="L267" s="44"/>
      <c r="M267" s="44"/>
      <c r="N267" s="7"/>
      <c r="O267" s="73"/>
      <c r="P267" s="7"/>
      <c r="Q267" s="7"/>
      <c r="R267" s="1"/>
      <c r="S267" s="1"/>
    </row>
    <row r="268" spans="1:24" ht="12.75" customHeight="1">
      <c r="A268" s="7"/>
      <c r="B268" s="7"/>
      <c r="C268" s="36"/>
      <c r="D268" s="7"/>
      <c r="E268" s="14"/>
      <c r="F268" s="7"/>
      <c r="G268" s="206"/>
      <c r="H268" s="206"/>
      <c r="I268" s="206"/>
      <c r="J268" s="7"/>
      <c r="K268" s="206"/>
      <c r="L268" s="206"/>
      <c r="M268" s="206"/>
      <c r="N268" s="7"/>
      <c r="O268" s="207"/>
      <c r="P268" s="7"/>
      <c r="Q268" s="7"/>
      <c r="R268" s="1"/>
      <c r="S268" s="1"/>
    </row>
    <row r="269" spans="1:24" ht="12.75" customHeight="1">
      <c r="A269" s="7"/>
      <c r="B269" s="7"/>
      <c r="C269" s="22"/>
      <c r="D269" s="7"/>
      <c r="E269" s="97"/>
      <c r="F269" s="7"/>
      <c r="G269" s="44"/>
      <c r="H269" s="44"/>
      <c r="I269" s="44"/>
      <c r="J269" s="7"/>
      <c r="K269" s="44"/>
      <c r="L269" s="44"/>
      <c r="M269" s="44"/>
      <c r="N269" s="7"/>
      <c r="O269" s="73"/>
      <c r="P269" s="7"/>
      <c r="Q269" s="7"/>
      <c r="R269" s="1"/>
      <c r="S269" s="1"/>
    </row>
    <row r="270" spans="1:24" ht="12.75" customHeight="1">
      <c r="A270" s="7"/>
      <c r="B270" s="7"/>
      <c r="C270" s="8"/>
      <c r="D270" s="7"/>
      <c r="E270" s="7"/>
      <c r="F270" s="7"/>
      <c r="G270" s="44"/>
      <c r="H270" s="44"/>
      <c r="I270" s="44"/>
      <c r="J270" s="7"/>
      <c r="K270" s="44"/>
      <c r="L270" s="44"/>
      <c r="M270" s="44"/>
      <c r="N270" s="7"/>
      <c r="O270" s="73"/>
      <c r="P270" s="7"/>
      <c r="Q270" s="7"/>
      <c r="R270" s="1"/>
      <c r="S270" s="1"/>
    </row>
    <row r="271" spans="1:24">
      <c r="A271" s="7"/>
      <c r="B271" s="7"/>
      <c r="C271" s="198"/>
      <c r="D271" s="7"/>
      <c r="E271" s="166"/>
      <c r="F271" s="7"/>
      <c r="G271" s="96"/>
      <c r="H271" s="96"/>
      <c r="I271" s="96"/>
      <c r="J271" s="7"/>
      <c r="K271" s="96"/>
      <c r="L271" s="96"/>
      <c r="M271" s="96"/>
      <c r="N271" s="7"/>
      <c r="O271" s="208"/>
      <c r="P271" s="7"/>
      <c r="Q271" s="7"/>
      <c r="R271" s="1"/>
      <c r="S271" s="1"/>
    </row>
    <row r="272" spans="1:24">
      <c r="A272" s="7"/>
      <c r="B272" s="7"/>
      <c r="C272" s="198"/>
      <c r="D272" s="7"/>
      <c r="E272" s="166"/>
      <c r="F272" s="7"/>
      <c r="G272" s="112"/>
      <c r="H272" s="112"/>
      <c r="I272" s="112"/>
      <c r="J272" s="7"/>
      <c r="K272" s="112"/>
      <c r="L272" s="112"/>
      <c r="M272" s="112"/>
      <c r="N272" s="7"/>
      <c r="O272" s="168"/>
      <c r="P272" s="7"/>
      <c r="Q272" s="7"/>
      <c r="R272" s="1"/>
      <c r="S272" s="1"/>
    </row>
    <row r="273" spans="1:19" ht="12.75" customHeight="1">
      <c r="A273" s="7"/>
      <c r="B273" s="7"/>
      <c r="C273" s="8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9"/>
      <c r="P273" s="7"/>
      <c r="Q273" s="7"/>
      <c r="R273" s="1"/>
      <c r="S273" s="1"/>
    </row>
    <row r="274" spans="1:19" ht="12.75" customHeight="1">
      <c r="A274" s="7"/>
      <c r="B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9"/>
      <c r="P274" s="7"/>
      <c r="Q274" s="7"/>
      <c r="R274" s="1"/>
      <c r="S274" s="1"/>
    </row>
    <row r="275" spans="1:19" ht="12.75" customHeight="1">
      <c r="A275" s="7"/>
      <c r="B275" s="7"/>
      <c r="C275" s="8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9"/>
      <c r="P275" s="7"/>
      <c r="Q275" s="7"/>
      <c r="R275" s="1"/>
      <c r="S275" s="1"/>
    </row>
    <row r="276" spans="1:19" ht="12.75" customHeight="1">
      <c r="A276" s="7"/>
      <c r="B276" s="7"/>
      <c r="C276" s="8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9"/>
      <c r="P276" s="7"/>
      <c r="Q276" s="7"/>
      <c r="R276" s="1"/>
      <c r="S276" s="1"/>
    </row>
    <row r="277" spans="1:19" ht="12.75" customHeight="1">
      <c r="A277" s="7"/>
      <c r="B277" s="7"/>
      <c r="C277" s="8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9"/>
      <c r="P277" s="7"/>
      <c r="Q277" s="7"/>
      <c r="R277" s="1"/>
      <c r="S277" s="1"/>
    </row>
    <row r="278" spans="1:19" ht="12.75" customHeight="1">
      <c r="A278" s="7"/>
      <c r="B278" s="7"/>
      <c r="C278" s="8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9"/>
      <c r="P278" s="7"/>
      <c r="Q278" s="7"/>
      <c r="R278" s="1"/>
      <c r="S278" s="1"/>
    </row>
    <row r="279" spans="1:19" ht="12.75" customHeight="1">
      <c r="A279" s="7"/>
      <c r="B279" s="7"/>
      <c r="C279" s="8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9"/>
      <c r="P279" s="7"/>
      <c r="Q279" s="7"/>
      <c r="R279" s="1"/>
      <c r="S279" s="1"/>
    </row>
    <row r="280" spans="1:19" ht="12.75" customHeight="1">
      <c r="A280" s="7"/>
      <c r="B280" s="7"/>
      <c r="C280" s="8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9"/>
      <c r="P280" s="7"/>
      <c r="Q280" s="7"/>
      <c r="R280" s="1"/>
      <c r="S280" s="1"/>
    </row>
    <row r="281" spans="1:19" ht="12.75" customHeight="1">
      <c r="A281" s="7"/>
      <c r="B281" s="7"/>
      <c r="C281" s="8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9"/>
      <c r="P281" s="7"/>
      <c r="Q281" s="7"/>
      <c r="R281" s="1"/>
      <c r="S281" s="1"/>
    </row>
    <row r="282" spans="1:19" ht="12.75" customHeight="1">
      <c r="A282" s="7"/>
      <c r="B282" s="7"/>
      <c r="C282" s="8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9"/>
      <c r="P282" s="7"/>
      <c r="Q282" s="7"/>
      <c r="R282" s="1"/>
      <c r="S282" s="1"/>
    </row>
    <row r="283" spans="1:19" ht="12.75" customHeight="1">
      <c r="A283" s="7"/>
      <c r="B283" s="7"/>
      <c r="C283" s="8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9"/>
      <c r="P283" s="7"/>
      <c r="Q283" s="7"/>
      <c r="R283" s="1"/>
      <c r="S283" s="1"/>
    </row>
    <row r="284" spans="1:19" ht="12.75" customHeight="1">
      <c r="A284" s="7"/>
      <c r="B284" s="7"/>
      <c r="C284" s="8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9"/>
      <c r="P284" s="7"/>
      <c r="Q284" s="7"/>
      <c r="R284" s="1"/>
      <c r="S284" s="1"/>
    </row>
    <row r="285" spans="1:19" ht="12.75" customHeight="1">
      <c r="A285" s="7"/>
      <c r="B285" s="7"/>
      <c r="C285" s="8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9"/>
      <c r="P285" s="7"/>
      <c r="Q285" s="7"/>
      <c r="R285" s="1"/>
      <c r="S285" s="1"/>
    </row>
    <row r="286" spans="1:19" ht="12.75" customHeight="1">
      <c r="A286" s="7"/>
      <c r="B286" s="7"/>
      <c r="C286" s="8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9"/>
      <c r="P286" s="7"/>
      <c r="Q286" s="7"/>
      <c r="R286" s="1"/>
      <c r="S286" s="1"/>
    </row>
    <row r="287" spans="1:19" ht="12.75" customHeight="1">
      <c r="A287" s="7"/>
      <c r="B287" s="7"/>
      <c r="C287" s="8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9"/>
      <c r="P287" s="7"/>
      <c r="Q287" s="7"/>
      <c r="R287" s="1"/>
      <c r="S287" s="1"/>
    </row>
    <row r="288" spans="1:19" ht="12.75" customHeight="1">
      <c r="A288" s="7"/>
      <c r="B288" s="7"/>
      <c r="C288" s="8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9"/>
      <c r="P288" s="7"/>
      <c r="Q288" s="7"/>
      <c r="R288" s="1"/>
      <c r="S288" s="1"/>
    </row>
    <row r="289" spans="1:19" ht="12.75" customHeight="1">
      <c r="A289" s="7"/>
      <c r="B289" s="7"/>
      <c r="C289" s="8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9"/>
      <c r="P289" s="7"/>
      <c r="Q289" s="7"/>
      <c r="R289" s="1"/>
      <c r="S289" s="1"/>
    </row>
    <row r="290" spans="1:19" ht="12.75" customHeight="1">
      <c r="A290" s="7"/>
      <c r="B290" s="7"/>
      <c r="C290" s="8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9"/>
      <c r="P290" s="7"/>
      <c r="Q290" s="7"/>
      <c r="R290" s="1"/>
      <c r="S290" s="1"/>
    </row>
    <row r="291" spans="1:19" ht="12.75" customHeight="1">
      <c r="A291" s="7"/>
      <c r="B291" s="7"/>
      <c r="C291" s="8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9"/>
      <c r="P291" s="7"/>
      <c r="Q291" s="7"/>
      <c r="R291" s="1"/>
      <c r="S291" s="1"/>
    </row>
    <row r="292" spans="1:19" ht="12.75" customHeight="1">
      <c r="A292" s="7"/>
      <c r="B292" s="7"/>
      <c r="C292" s="8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9"/>
      <c r="P292" s="7"/>
      <c r="Q292" s="7"/>
      <c r="R292" s="1"/>
      <c r="S292" s="1"/>
    </row>
    <row r="293" spans="1:19" ht="12.75" customHeight="1">
      <c r="A293" s="7"/>
      <c r="B293" s="7"/>
      <c r="C293" s="8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9"/>
      <c r="P293" s="7"/>
      <c r="Q293" s="7"/>
      <c r="R293" s="1"/>
      <c r="S293" s="1"/>
    </row>
    <row r="294" spans="1:19" ht="12.75" customHeight="1">
      <c r="A294" s="7"/>
      <c r="B294" s="7"/>
      <c r="C294" s="8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9"/>
      <c r="P294" s="7"/>
      <c r="Q294" s="7"/>
      <c r="R294" s="1"/>
      <c r="S294" s="1"/>
    </row>
    <row r="295" spans="1:19" ht="12.75" customHeight="1">
      <c r="A295" s="7"/>
      <c r="B295" s="7"/>
      <c r="C295" s="8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9"/>
      <c r="P295" s="7"/>
      <c r="Q295" s="7"/>
      <c r="R295" s="1"/>
      <c r="S295" s="1"/>
    </row>
    <row r="296" spans="1:19" ht="12.75" customHeight="1">
      <c r="A296" s="7"/>
      <c r="B296" s="7"/>
      <c r="C296" s="8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9"/>
      <c r="P296" s="7"/>
      <c r="Q296" s="7"/>
      <c r="R296" s="1"/>
      <c r="S296" s="1"/>
    </row>
    <row r="297" spans="1:19" ht="12.75" customHeight="1">
      <c r="A297" s="7"/>
      <c r="B297" s="7"/>
      <c r="C297" s="8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9"/>
      <c r="P297" s="7"/>
      <c r="Q297" s="7"/>
      <c r="R297" s="1"/>
      <c r="S297" s="1"/>
    </row>
    <row r="298" spans="1:19" ht="12.75" customHeight="1">
      <c r="A298" s="7"/>
      <c r="B298" s="7"/>
      <c r="C298" s="8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9"/>
      <c r="P298" s="7"/>
      <c r="Q298" s="7"/>
      <c r="R298" s="1"/>
      <c r="S298" s="1"/>
    </row>
    <row r="299" spans="1:19" ht="12.75" customHeight="1">
      <c r="A299" s="7"/>
      <c r="B299" s="7"/>
      <c r="C299" s="8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9"/>
      <c r="P299" s="7"/>
      <c r="Q299" s="7"/>
      <c r="R299" s="1"/>
      <c r="S299" s="1"/>
    </row>
    <row r="300" spans="1:19" ht="12.75" customHeight="1">
      <c r="A300" s="7"/>
      <c r="B300" s="7"/>
      <c r="C300" s="8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9"/>
      <c r="P300" s="7"/>
      <c r="Q300" s="7"/>
      <c r="R300" s="1"/>
      <c r="S300" s="1"/>
    </row>
    <row r="301" spans="1:19" ht="12.75" customHeight="1">
      <c r="A301" s="7"/>
      <c r="B301" s="7"/>
      <c r="C301" s="8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9"/>
      <c r="P301" s="7"/>
      <c r="Q301" s="7"/>
      <c r="R301" s="1"/>
      <c r="S301" s="1"/>
    </row>
    <row r="302" spans="1:19" ht="12.75" customHeight="1">
      <c r="A302" s="7"/>
      <c r="B302" s="7"/>
      <c r="C302" s="8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9"/>
      <c r="P302" s="7"/>
      <c r="Q302" s="7"/>
      <c r="R302" s="1"/>
      <c r="S302" s="1"/>
    </row>
    <row r="303" spans="1:19" ht="12.75" customHeight="1">
      <c r="A303" s="7"/>
      <c r="B303" s="7"/>
      <c r="C303" s="8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9"/>
      <c r="P303" s="7"/>
      <c r="Q303" s="7"/>
      <c r="R303" s="1"/>
      <c r="S303" s="1"/>
    </row>
    <row r="304" spans="1:19" ht="12.75" customHeight="1">
      <c r="A304" s="7"/>
      <c r="B304" s="7"/>
      <c r="C304" s="8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9"/>
      <c r="P304" s="7"/>
      <c r="Q304" s="7"/>
      <c r="R304" s="1"/>
      <c r="S304" s="1"/>
    </row>
    <row r="305" spans="1:19" ht="12.75" customHeight="1">
      <c r="A305" s="7"/>
      <c r="B305" s="7"/>
      <c r="C305" s="8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9"/>
      <c r="P305" s="7"/>
      <c r="Q305" s="7"/>
      <c r="R305" s="1"/>
      <c r="S305" s="1"/>
    </row>
    <row r="306" spans="1:19" ht="12.75" customHeight="1">
      <c r="A306" s="7"/>
      <c r="B306" s="7"/>
      <c r="C306" s="8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9"/>
      <c r="P306" s="7"/>
      <c r="Q306" s="7"/>
      <c r="R306" s="1"/>
      <c r="S306" s="1"/>
    </row>
    <row r="307" spans="1:19" ht="12.75" customHeight="1">
      <c r="A307" s="7"/>
      <c r="B307" s="7"/>
      <c r="C307" s="8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9"/>
      <c r="P307" s="7"/>
      <c r="Q307" s="7"/>
      <c r="R307" s="1"/>
      <c r="S307" s="1"/>
    </row>
    <row r="308" spans="1:19" ht="12.75" customHeight="1">
      <c r="A308" s="7"/>
      <c r="B308" s="7"/>
      <c r="C308" s="8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9"/>
      <c r="P308" s="7"/>
      <c r="Q308" s="7"/>
      <c r="R308" s="1"/>
      <c r="S308" s="1"/>
    </row>
    <row r="309" spans="1:19" ht="12.75" customHeight="1">
      <c r="A309" s="7"/>
      <c r="B309" s="7"/>
      <c r="C309" s="8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9"/>
      <c r="P309" s="7"/>
      <c r="Q309" s="7"/>
      <c r="R309" s="1"/>
      <c r="S309" s="1"/>
    </row>
    <row r="310" spans="1:19" ht="12.75" customHeight="1">
      <c r="A310" s="7"/>
      <c r="B310" s="7"/>
      <c r="C310" s="8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9"/>
      <c r="P310" s="7"/>
      <c r="Q310" s="7"/>
      <c r="R310" s="1"/>
      <c r="S310" s="1"/>
    </row>
    <row r="311" spans="1:19" ht="12.75" customHeight="1">
      <c r="A311" s="7"/>
      <c r="B311" s="7"/>
      <c r="C311" s="8"/>
      <c r="D311" s="7"/>
      <c r="E311" s="14"/>
      <c r="F311" s="7"/>
      <c r="G311" s="7"/>
      <c r="H311" s="7"/>
      <c r="I311" s="7"/>
      <c r="J311" s="7"/>
      <c r="K311" s="7"/>
      <c r="L311" s="7"/>
      <c r="M311" s="7"/>
      <c r="N311" s="7"/>
      <c r="O311" s="9"/>
      <c r="P311" s="7"/>
      <c r="Q311" s="7"/>
      <c r="R311" s="1"/>
      <c r="S311" s="1"/>
    </row>
    <row r="312" spans="1:19" ht="12.75" customHeight="1">
      <c r="A312" s="7"/>
      <c r="B312" s="7"/>
      <c r="C312" s="8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9"/>
      <c r="P312" s="7"/>
      <c r="Q312" s="7"/>
      <c r="R312" s="1"/>
      <c r="S312" s="1"/>
    </row>
    <row r="313" spans="1:19" ht="12.75" customHeight="1">
      <c r="A313" s="7"/>
      <c r="B313" s="7"/>
      <c r="C313" s="8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9"/>
      <c r="P313" s="7"/>
      <c r="Q313" s="7"/>
      <c r="R313" s="1"/>
      <c r="S313" s="1"/>
    </row>
    <row r="314" spans="1:19" ht="12.75" customHeight="1">
      <c r="A314" s="7"/>
      <c r="B314" s="7"/>
      <c r="C314" s="8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9"/>
      <c r="P314" s="7"/>
      <c r="Q314" s="7"/>
      <c r="R314" s="1"/>
      <c r="S314" s="1"/>
    </row>
    <row r="315" spans="1:19" ht="12.75" customHeight="1">
      <c r="A315" s="7"/>
      <c r="B315" s="7"/>
      <c r="C315" s="8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9"/>
      <c r="P315" s="7"/>
      <c r="Q315" s="7"/>
      <c r="R315" s="1"/>
      <c r="S315" s="1"/>
    </row>
    <row r="316" spans="1:19" ht="12.75" customHeight="1">
      <c r="A316" s="7"/>
      <c r="B316" s="7"/>
      <c r="C316" s="8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9"/>
      <c r="P316" s="7"/>
      <c r="Q316" s="7"/>
      <c r="R316" s="1"/>
      <c r="S316" s="1"/>
    </row>
    <row r="317" spans="1:19" ht="12.75" customHeight="1">
      <c r="A317" s="7"/>
      <c r="B317" s="7"/>
      <c r="C317" s="8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9"/>
      <c r="P317" s="7"/>
      <c r="Q317" s="7"/>
      <c r="R317" s="1"/>
      <c r="S317" s="1"/>
    </row>
    <row r="318" spans="1:19" ht="12.75" customHeight="1">
      <c r="A318" s="7"/>
      <c r="B318" s="7"/>
      <c r="C318" s="8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9"/>
      <c r="P318" s="7"/>
      <c r="Q318" s="7"/>
      <c r="R318" s="1"/>
      <c r="S318" s="1"/>
    </row>
    <row r="319" spans="1:19" ht="12.75" customHeight="1">
      <c r="A319" s="7"/>
      <c r="B319" s="7"/>
      <c r="C319" s="8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9"/>
      <c r="P319" s="7"/>
      <c r="Q319" s="7"/>
      <c r="R319" s="1"/>
      <c r="S319" s="1"/>
    </row>
    <row r="320" spans="1:19" ht="12.75" customHeight="1">
      <c r="A320" s="7"/>
      <c r="B320" s="7"/>
      <c r="C320" s="8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9"/>
      <c r="P320" s="7"/>
      <c r="Q320" s="7"/>
      <c r="R320" s="1"/>
      <c r="S320" s="1"/>
    </row>
    <row r="321" spans="1:19" ht="12.75" customHeight="1">
      <c r="A321" s="7"/>
      <c r="B321" s="7"/>
      <c r="C321" s="8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9"/>
      <c r="P321" s="7"/>
      <c r="Q321" s="7"/>
      <c r="R321" s="1"/>
      <c r="S321" s="1"/>
    </row>
    <row r="322" spans="1:19" ht="12.75" customHeight="1">
      <c r="A322" s="7"/>
      <c r="B322" s="7"/>
      <c r="C322" s="8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9"/>
      <c r="P322" s="7"/>
      <c r="Q322" s="7"/>
      <c r="R322" s="1"/>
      <c r="S322" s="1"/>
    </row>
    <row r="323" spans="1:19" ht="12.75" customHeight="1">
      <c r="A323" s="7"/>
      <c r="B323" s="7"/>
      <c r="C323" s="8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9"/>
      <c r="P323" s="7"/>
      <c r="Q323" s="7"/>
      <c r="R323" s="1"/>
      <c r="S323" s="1"/>
    </row>
    <row r="324" spans="1:19" ht="12.75" customHeight="1">
      <c r="A324" s="7"/>
      <c r="B324" s="7"/>
      <c r="C324" s="8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9"/>
      <c r="P324" s="7"/>
      <c r="Q324" s="7"/>
      <c r="R324" s="1"/>
      <c r="S324" s="1"/>
    </row>
    <row r="325" spans="1:19" ht="12.75" customHeight="1">
      <c r="A325" s="7"/>
      <c r="B325" s="7"/>
      <c r="C325" s="8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9"/>
      <c r="P325" s="7"/>
      <c r="Q325" s="7"/>
      <c r="R325" s="1"/>
      <c r="S325" s="1"/>
    </row>
    <row r="326" spans="1:19" ht="12.75" customHeight="1">
      <c r="A326" s="1"/>
      <c r="B326" s="1"/>
      <c r="C326" s="8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3"/>
      <c r="P326" s="1"/>
      <c r="Q326" s="1"/>
      <c r="R326" s="1"/>
      <c r="S326" s="1"/>
    </row>
    <row r="327" spans="1:19" ht="13.5" customHeight="1" thickBot="1">
      <c r="A327" s="1"/>
      <c r="B327" s="1"/>
      <c r="C327" s="2"/>
      <c r="D327" s="1"/>
      <c r="E327" s="7" t="s">
        <v>249</v>
      </c>
      <c r="F327" s="1"/>
      <c r="G327" s="87"/>
      <c r="H327" s="1"/>
      <c r="I327" s="1"/>
      <c r="J327" s="1"/>
      <c r="K327" s="1"/>
      <c r="L327" s="1"/>
      <c r="M327" s="1"/>
      <c r="N327" s="1"/>
      <c r="O327" s="3"/>
      <c r="P327" s="1"/>
      <c r="Q327" s="1"/>
      <c r="R327" s="1"/>
      <c r="S327" s="1"/>
    </row>
    <row r="328" spans="1:19" ht="25.5" customHeight="1">
      <c r="A328" s="1"/>
      <c r="B328" s="1"/>
      <c r="C328" s="2"/>
      <c r="D328" s="1"/>
      <c r="E328" s="409" t="s">
        <v>250</v>
      </c>
      <c r="F328" s="1"/>
      <c r="G328" s="219"/>
      <c r="H328" s="1"/>
      <c r="I328" s="1"/>
      <c r="J328" s="1"/>
      <c r="K328" s="1"/>
      <c r="L328" s="1"/>
      <c r="M328" s="1"/>
      <c r="N328" s="1"/>
      <c r="O328" s="3"/>
      <c r="P328" s="1"/>
      <c r="Q328" s="1"/>
      <c r="R328" s="1"/>
      <c r="S328" s="1"/>
    </row>
    <row r="329" spans="1:19" ht="13.5" customHeight="1" thickBot="1">
      <c r="A329" s="1"/>
      <c r="B329" s="1"/>
      <c r="C329" s="2"/>
      <c r="D329" s="1"/>
      <c r="E329" s="410"/>
      <c r="F329" s="1"/>
      <c r="G329" s="220"/>
      <c r="H329" s="1"/>
      <c r="I329" s="1"/>
      <c r="J329" s="1"/>
      <c r="K329" s="1"/>
      <c r="L329" s="1"/>
      <c r="M329" s="1"/>
      <c r="N329" s="1"/>
      <c r="O329" s="3"/>
      <c r="P329" s="1"/>
      <c r="Q329" s="1"/>
      <c r="R329" s="1"/>
      <c r="S329" s="1"/>
    </row>
    <row r="330" spans="1:19" ht="12.75" customHeight="1">
      <c r="A330" s="1"/>
      <c r="B330" s="1"/>
      <c r="C330" s="2"/>
      <c r="D330" s="1"/>
      <c r="E330" s="93">
        <v>49875.799999999996</v>
      </c>
      <c r="F330" s="1"/>
      <c r="G330" s="95"/>
      <c r="H330" s="1"/>
      <c r="I330" s="1"/>
      <c r="J330" s="1"/>
      <c r="K330" s="1"/>
      <c r="L330" s="1"/>
      <c r="M330" s="1"/>
      <c r="N330" s="1"/>
      <c r="O330" s="3"/>
      <c r="P330" s="1"/>
      <c r="Q330" s="1"/>
      <c r="R330" s="1"/>
      <c r="S330" s="1"/>
    </row>
    <row r="331" spans="1:19" ht="12.75" customHeight="1">
      <c r="A331" s="1"/>
      <c r="B331" s="1"/>
      <c r="C331" s="2"/>
      <c r="D331" s="1"/>
      <c r="E331" s="93">
        <v>97389.93</v>
      </c>
      <c r="F331" s="1"/>
      <c r="G331" s="95"/>
      <c r="H331" s="1"/>
      <c r="I331" s="1"/>
      <c r="J331" s="1"/>
      <c r="K331" s="1"/>
      <c r="L331" s="1"/>
      <c r="M331" s="1"/>
      <c r="N331" s="1"/>
      <c r="O331" s="3"/>
      <c r="P331" s="1"/>
      <c r="Q331" s="1"/>
      <c r="R331" s="1"/>
      <c r="S331" s="1"/>
    </row>
    <row r="332" spans="1:19" ht="12.75" customHeight="1">
      <c r="A332" s="1"/>
      <c r="B332" s="1"/>
      <c r="C332" s="2"/>
      <c r="D332" s="1"/>
      <c r="E332" s="93">
        <v>0</v>
      </c>
      <c r="F332" s="1"/>
      <c r="G332" s="95"/>
      <c r="H332" s="1"/>
      <c r="I332" s="1"/>
      <c r="J332" s="1"/>
      <c r="K332" s="1"/>
      <c r="L332" s="1"/>
      <c r="M332" s="1"/>
      <c r="N332" s="1"/>
      <c r="O332" s="3"/>
      <c r="P332" s="1"/>
      <c r="Q332" s="1"/>
      <c r="R332" s="1"/>
      <c r="S332" s="1"/>
    </row>
    <row r="333" spans="1:19" ht="12.75" customHeight="1">
      <c r="A333" s="1"/>
      <c r="B333" s="1"/>
      <c r="C333" s="2"/>
      <c r="D333" s="1"/>
      <c r="E333" s="93">
        <v>13536.71</v>
      </c>
      <c r="F333" s="1"/>
      <c r="G333" s="95"/>
      <c r="H333" s="1"/>
      <c r="I333" s="1"/>
      <c r="J333" s="1"/>
      <c r="K333" s="1"/>
      <c r="L333" s="1"/>
      <c r="M333" s="1"/>
      <c r="N333" s="1"/>
      <c r="O333" s="3"/>
      <c r="P333" s="1"/>
      <c r="Q333" s="1"/>
      <c r="R333" s="1"/>
      <c r="S333" s="1"/>
    </row>
    <row r="334" spans="1:19" ht="12.75" customHeight="1">
      <c r="A334" s="1"/>
      <c r="B334" s="1"/>
      <c r="C334" s="2"/>
      <c r="D334" s="1"/>
      <c r="E334" s="93">
        <v>884.59</v>
      </c>
      <c r="F334" s="1"/>
      <c r="G334" s="95"/>
      <c r="H334" s="1"/>
      <c r="I334" s="1"/>
      <c r="J334" s="1"/>
      <c r="K334" s="1"/>
      <c r="L334" s="1"/>
      <c r="M334" s="1"/>
      <c r="N334" s="1"/>
      <c r="O334" s="3"/>
      <c r="P334" s="1"/>
      <c r="Q334" s="1"/>
      <c r="R334" s="1"/>
      <c r="S334" s="1"/>
    </row>
    <row r="335" spans="1:19" ht="12.75" customHeight="1">
      <c r="A335" s="1"/>
      <c r="B335" s="1"/>
      <c r="C335" s="2"/>
      <c r="D335" s="1"/>
      <c r="E335" s="93">
        <v>0</v>
      </c>
      <c r="F335" s="1"/>
      <c r="G335" s="95"/>
      <c r="H335" s="1"/>
      <c r="I335" s="1"/>
      <c r="J335" s="1"/>
      <c r="K335" s="1"/>
      <c r="L335" s="1"/>
      <c r="M335" s="1"/>
      <c r="N335" s="1"/>
      <c r="O335" s="3"/>
      <c r="P335" s="1"/>
      <c r="Q335" s="1"/>
      <c r="R335" s="1"/>
      <c r="S335" s="1"/>
    </row>
    <row r="336" spans="1:19" ht="13.5" customHeight="1" thickBot="1">
      <c r="A336" s="1"/>
      <c r="B336" s="1"/>
      <c r="C336" s="2"/>
      <c r="D336" s="1"/>
      <c r="E336" s="98">
        <v>0</v>
      </c>
      <c r="F336" s="1"/>
      <c r="G336" s="95"/>
      <c r="H336" s="1"/>
      <c r="I336" s="1"/>
      <c r="J336" s="1"/>
      <c r="K336" s="1"/>
      <c r="L336" s="1"/>
      <c r="M336" s="1"/>
      <c r="N336" s="1"/>
      <c r="O336" s="3"/>
      <c r="P336" s="1"/>
      <c r="Q336" s="1"/>
      <c r="R336" s="1"/>
      <c r="S336" s="1"/>
    </row>
    <row r="337" spans="1:19" ht="12.75" customHeight="1">
      <c r="A337" s="1"/>
      <c r="B337" s="1"/>
      <c r="C337" s="2"/>
      <c r="D337" s="1"/>
      <c r="E337" s="104"/>
      <c r="F337" s="1"/>
      <c r="G337" s="104"/>
      <c r="H337" s="1"/>
      <c r="I337" s="1"/>
      <c r="J337" s="1"/>
      <c r="K337" s="1"/>
      <c r="L337" s="1"/>
      <c r="M337" s="1"/>
      <c r="N337" s="1"/>
      <c r="O337" s="3"/>
      <c r="P337" s="1"/>
      <c r="Q337" s="1"/>
      <c r="R337" s="1"/>
      <c r="S337" s="1"/>
    </row>
    <row r="338" spans="1:19" ht="15.75" customHeight="1" thickBot="1">
      <c r="A338" s="1"/>
      <c r="B338" s="1"/>
      <c r="C338" s="2"/>
      <c r="D338" s="1"/>
      <c r="E338" s="99">
        <f>SUM(E330:E337)</f>
        <v>161687.02999999997</v>
      </c>
      <c r="F338" s="1"/>
      <c r="G338" s="99"/>
      <c r="H338" s="1"/>
      <c r="I338" s="1"/>
      <c r="J338" s="1"/>
      <c r="K338" s="1"/>
      <c r="L338" s="1"/>
      <c r="M338" s="1"/>
      <c r="N338" s="1"/>
      <c r="O338" s="3"/>
      <c r="P338" s="1"/>
      <c r="Q338" s="1"/>
      <c r="R338" s="1"/>
      <c r="S338" s="1"/>
    </row>
    <row r="339" spans="1:19" ht="14.25" customHeight="1">
      <c r="A339" s="1"/>
      <c r="B339" s="1"/>
      <c r="C339" s="2"/>
      <c r="D339" s="1"/>
      <c r="E339" s="100"/>
      <c r="F339" s="1"/>
      <c r="G339" s="101"/>
      <c r="H339" s="1"/>
      <c r="I339" s="1"/>
      <c r="J339" s="1"/>
      <c r="K339" s="1"/>
      <c r="L339" s="1"/>
      <c r="M339" s="1"/>
      <c r="N339" s="1"/>
      <c r="O339" s="3"/>
      <c r="P339" s="1"/>
      <c r="Q339" s="1"/>
      <c r="R339" s="1"/>
      <c r="S339" s="1"/>
    </row>
    <row r="340" spans="1:19" ht="14.25" customHeight="1">
      <c r="A340" s="1"/>
      <c r="B340" s="1"/>
      <c r="C340" s="2"/>
      <c r="D340" s="1"/>
      <c r="E340" s="100"/>
      <c r="F340" s="1"/>
      <c r="G340" s="87"/>
      <c r="H340" s="1"/>
      <c r="I340" s="1"/>
      <c r="J340" s="1"/>
      <c r="K340" s="1"/>
      <c r="L340" s="1"/>
      <c r="M340" s="1"/>
      <c r="N340" s="1"/>
      <c r="O340" s="3"/>
      <c r="P340" s="1"/>
      <c r="Q340" s="1"/>
      <c r="R340" s="1"/>
      <c r="S340" s="1"/>
    </row>
    <row r="341" spans="1:19" ht="14.25" customHeight="1">
      <c r="A341" s="1"/>
      <c r="B341" s="1"/>
      <c r="C341" s="2"/>
      <c r="D341" s="1"/>
      <c r="E341" s="100"/>
      <c r="F341" s="1"/>
      <c r="G341" s="87"/>
      <c r="H341" s="1"/>
      <c r="I341" s="1"/>
      <c r="J341" s="1"/>
      <c r="K341" s="1"/>
      <c r="L341" s="1"/>
      <c r="M341" s="1"/>
      <c r="N341" s="1"/>
      <c r="O341" s="3"/>
      <c r="P341" s="1"/>
      <c r="Q341" s="1"/>
      <c r="R341" s="1"/>
      <c r="S341" s="1"/>
    </row>
    <row r="342" spans="1:19" ht="13.5" customHeight="1" thickBot="1">
      <c r="A342" s="1"/>
      <c r="B342" s="1"/>
      <c r="C342" s="2"/>
      <c r="D342" s="1"/>
      <c r="E342" s="87" t="s">
        <v>251</v>
      </c>
      <c r="F342" s="1"/>
      <c r="G342" s="111"/>
      <c r="H342" s="1"/>
      <c r="I342" s="1"/>
      <c r="J342" s="1"/>
      <c r="K342" s="1"/>
      <c r="L342" s="1"/>
      <c r="M342" s="1"/>
      <c r="N342" s="1"/>
      <c r="O342" s="3"/>
      <c r="P342" s="1"/>
      <c r="Q342" s="1"/>
      <c r="R342" s="1"/>
      <c r="S342" s="1"/>
    </row>
    <row r="343" spans="1:19" ht="25.5" customHeight="1">
      <c r="A343" s="1"/>
      <c r="B343" s="1"/>
      <c r="C343" s="2"/>
      <c r="D343" s="1"/>
      <c r="E343" s="409" t="s">
        <v>250</v>
      </c>
      <c r="F343" s="1"/>
      <c r="G343" s="219"/>
      <c r="H343" s="1"/>
      <c r="I343" s="1"/>
      <c r="J343" s="1"/>
      <c r="K343" s="1"/>
      <c r="L343" s="1"/>
      <c r="M343" s="1"/>
      <c r="N343" s="1"/>
      <c r="O343" s="3"/>
      <c r="P343" s="1"/>
      <c r="Q343" s="1"/>
      <c r="R343" s="1"/>
      <c r="S343" s="1"/>
    </row>
    <row r="344" spans="1:19" ht="13.5" customHeight="1" thickBot="1">
      <c r="A344" s="1"/>
      <c r="B344" s="1"/>
      <c r="C344" s="2"/>
      <c r="D344" s="1"/>
      <c r="E344" s="410"/>
      <c r="F344" s="1"/>
      <c r="G344" s="220"/>
      <c r="H344" s="1"/>
      <c r="I344" s="1"/>
      <c r="J344" s="1"/>
      <c r="K344" s="1"/>
      <c r="L344" s="1"/>
      <c r="M344" s="1"/>
      <c r="N344" s="1"/>
      <c r="O344" s="3"/>
      <c r="P344" s="1"/>
      <c r="Q344" s="1"/>
      <c r="R344" s="1"/>
      <c r="S344" s="1"/>
    </row>
    <row r="345" spans="1:19" ht="12.75" customHeight="1">
      <c r="A345" s="1"/>
      <c r="B345" s="1"/>
      <c r="C345" s="2"/>
      <c r="D345" s="1"/>
      <c r="E345" s="103">
        <v>19000.5</v>
      </c>
      <c r="F345" s="1"/>
      <c r="G345" s="95"/>
      <c r="H345" s="1"/>
      <c r="I345" s="1"/>
      <c r="J345" s="1"/>
      <c r="K345" s="1"/>
      <c r="L345" s="1"/>
      <c r="M345" s="1"/>
      <c r="N345" s="1"/>
      <c r="O345" s="3"/>
      <c r="P345" s="1"/>
      <c r="Q345" s="1"/>
      <c r="R345" s="1"/>
      <c r="S345" s="1"/>
    </row>
    <row r="346" spans="1:19" ht="12.75" customHeight="1">
      <c r="A346" s="1"/>
      <c r="B346" s="1"/>
      <c r="C346" s="2"/>
      <c r="D346" s="1"/>
      <c r="E346" s="93">
        <v>128377.54000000001</v>
      </c>
      <c r="F346" s="1"/>
      <c r="G346" s="95"/>
      <c r="H346" s="1"/>
      <c r="I346" s="1"/>
      <c r="J346" s="1"/>
      <c r="K346" s="1"/>
      <c r="L346" s="1"/>
      <c r="M346" s="1"/>
      <c r="N346" s="1"/>
      <c r="O346" s="3"/>
      <c r="P346" s="1"/>
      <c r="Q346" s="1"/>
      <c r="R346" s="1"/>
      <c r="S346" s="1"/>
    </row>
    <row r="347" spans="1:19" ht="12.75" customHeight="1">
      <c r="A347" s="1"/>
      <c r="B347" s="1"/>
      <c r="C347" s="2"/>
      <c r="D347" s="1"/>
      <c r="E347" s="93">
        <v>0</v>
      </c>
      <c r="F347" s="1"/>
      <c r="G347" s="95"/>
      <c r="H347" s="1"/>
      <c r="I347" s="1"/>
      <c r="J347" s="1"/>
      <c r="K347" s="1"/>
      <c r="L347" s="1"/>
      <c r="M347" s="1"/>
      <c r="N347" s="1"/>
      <c r="O347" s="3"/>
      <c r="P347" s="1"/>
      <c r="Q347" s="1"/>
      <c r="R347" s="1"/>
      <c r="S347" s="1"/>
    </row>
    <row r="348" spans="1:19" ht="12.75" customHeight="1">
      <c r="A348" s="1"/>
      <c r="B348" s="1"/>
      <c r="C348" s="2"/>
      <c r="D348" s="1"/>
      <c r="E348" s="93">
        <v>340.09000000000003</v>
      </c>
      <c r="F348" s="1"/>
      <c r="G348" s="95"/>
      <c r="H348" s="1"/>
      <c r="I348" s="1"/>
      <c r="J348" s="1"/>
      <c r="K348" s="1"/>
      <c r="L348" s="1"/>
      <c r="M348" s="1"/>
      <c r="N348" s="1"/>
      <c r="O348" s="3"/>
      <c r="P348" s="1"/>
      <c r="Q348" s="1"/>
      <c r="R348" s="1"/>
      <c r="S348" s="1"/>
    </row>
    <row r="349" spans="1:19" ht="12.75" customHeight="1">
      <c r="A349" s="1"/>
      <c r="B349" s="1"/>
      <c r="C349" s="2"/>
      <c r="D349" s="1"/>
      <c r="E349" s="93">
        <v>13968.9</v>
      </c>
      <c r="F349" s="1"/>
      <c r="G349" s="95"/>
      <c r="H349" s="1"/>
      <c r="I349" s="1"/>
      <c r="J349" s="1"/>
      <c r="K349" s="1"/>
      <c r="L349" s="1"/>
      <c r="M349" s="1"/>
      <c r="N349" s="1"/>
      <c r="O349" s="3"/>
      <c r="P349" s="1"/>
      <c r="Q349" s="1"/>
      <c r="R349" s="1"/>
      <c r="S349" s="1"/>
    </row>
    <row r="350" spans="1:19" ht="15.75" customHeight="1" thickBot="1">
      <c r="A350" s="1"/>
      <c r="B350" s="1"/>
      <c r="C350" s="2"/>
      <c r="D350" s="1"/>
      <c r="E350" s="98">
        <v>0</v>
      </c>
      <c r="F350" s="1"/>
      <c r="G350" s="95"/>
      <c r="H350" s="1"/>
      <c r="I350" s="1"/>
      <c r="J350" s="1"/>
      <c r="K350" s="1"/>
      <c r="L350" s="1"/>
      <c r="M350" s="1"/>
      <c r="N350" s="1"/>
      <c r="O350" s="3"/>
      <c r="P350" s="1"/>
      <c r="Q350" s="1"/>
      <c r="R350" s="1"/>
      <c r="S350" s="1"/>
    </row>
    <row r="351" spans="1:19" ht="12.75" customHeight="1">
      <c r="A351" s="1"/>
      <c r="B351" s="1"/>
      <c r="C351" s="2"/>
      <c r="D351" s="1"/>
      <c r="E351" s="211"/>
      <c r="F351" s="1"/>
      <c r="G351" s="104"/>
      <c r="H351" s="1"/>
      <c r="I351" s="1"/>
      <c r="J351" s="1"/>
      <c r="K351" s="1"/>
      <c r="L351" s="1"/>
      <c r="M351" s="1"/>
      <c r="N351" s="1"/>
      <c r="O351" s="3"/>
      <c r="P351" s="1"/>
      <c r="Q351" s="1"/>
      <c r="R351" s="1"/>
      <c r="S351" s="1"/>
    </row>
    <row r="352" spans="1:19" ht="15.75" customHeight="1" thickBot="1">
      <c r="A352" s="1"/>
      <c r="B352" s="1"/>
      <c r="C352" s="2"/>
      <c r="D352" s="1"/>
      <c r="E352" s="99">
        <f>SUM(E345:E351)</f>
        <v>161687.03</v>
      </c>
      <c r="F352" s="1"/>
      <c r="G352" s="99"/>
      <c r="H352" s="1"/>
      <c r="I352" s="1"/>
      <c r="J352" s="1"/>
      <c r="K352" s="1"/>
      <c r="L352" s="1"/>
      <c r="M352" s="1"/>
      <c r="N352" s="1"/>
      <c r="O352" s="3"/>
      <c r="P352" s="1"/>
      <c r="Q352" s="1"/>
      <c r="R352" s="1"/>
      <c r="S352" s="1"/>
    </row>
    <row r="353" spans="1:19" ht="14.25" customHeight="1">
      <c r="A353" s="1"/>
      <c r="B353" s="1"/>
      <c r="C353" s="2"/>
      <c r="D353" s="1"/>
      <c r="E353" s="100"/>
      <c r="F353" s="1"/>
      <c r="G353" s="87"/>
      <c r="H353" s="1"/>
      <c r="I353" s="1"/>
      <c r="J353" s="1"/>
      <c r="K353" s="1"/>
      <c r="L353" s="1"/>
      <c r="M353" s="1"/>
      <c r="N353" s="1"/>
      <c r="O353" s="3"/>
      <c r="P353" s="1"/>
      <c r="Q353" s="1"/>
      <c r="R353" s="1"/>
      <c r="S353" s="1"/>
    </row>
    <row r="354" spans="1:19" ht="15.75" customHeight="1" thickBot="1">
      <c r="A354" s="1"/>
      <c r="B354" s="1"/>
      <c r="C354" s="2"/>
      <c r="D354" s="1"/>
      <c r="E354" s="100"/>
      <c r="F354" s="1"/>
      <c r="G354" s="87"/>
      <c r="H354" s="1"/>
      <c r="I354" s="1"/>
      <c r="J354" s="1"/>
      <c r="K354" s="1"/>
      <c r="L354" s="1"/>
      <c r="M354" s="1"/>
      <c r="N354" s="1"/>
      <c r="O354" s="3"/>
      <c r="P354" s="1"/>
      <c r="Q354" s="1"/>
      <c r="R354" s="1"/>
      <c r="S354" s="1"/>
    </row>
    <row r="355" spans="1:19" ht="25.5" customHeight="1">
      <c r="A355" s="1"/>
      <c r="B355" s="1"/>
      <c r="C355" s="2"/>
      <c r="D355" s="1"/>
      <c r="E355" s="409" t="s">
        <v>250</v>
      </c>
      <c r="F355" s="1"/>
      <c r="G355" s="221"/>
      <c r="H355" s="1"/>
      <c r="I355" s="1"/>
      <c r="J355" s="1"/>
      <c r="K355" s="1"/>
      <c r="L355" s="1"/>
      <c r="M355" s="1"/>
      <c r="N355" s="1"/>
      <c r="O355" s="3"/>
      <c r="P355" s="1"/>
      <c r="Q355" s="1"/>
      <c r="R355" s="1"/>
      <c r="S355" s="1"/>
    </row>
    <row r="356" spans="1:19" ht="13.5" customHeight="1" thickBot="1">
      <c r="A356" s="1"/>
      <c r="B356" s="1"/>
      <c r="C356" s="2"/>
      <c r="D356" s="1"/>
      <c r="E356" s="410"/>
      <c r="F356" s="1"/>
      <c r="G356" s="221"/>
      <c r="H356" s="1"/>
      <c r="I356" s="1"/>
      <c r="J356" s="1"/>
      <c r="K356" s="1"/>
      <c r="L356" s="1"/>
      <c r="M356" s="1"/>
      <c r="N356" s="1"/>
      <c r="O356" s="3"/>
      <c r="P356" s="1"/>
      <c r="Q356" s="1"/>
      <c r="R356" s="1"/>
      <c r="S356" s="1"/>
    </row>
    <row r="357" spans="1:19" ht="14.25" customHeight="1">
      <c r="A357" s="1"/>
      <c r="B357" s="1"/>
      <c r="C357" s="2"/>
      <c r="D357" s="1"/>
      <c r="E357" s="109">
        <f>E338</f>
        <v>161687.02999999997</v>
      </c>
      <c r="F357" s="1"/>
      <c r="G357" s="109"/>
      <c r="H357" s="1"/>
      <c r="I357" s="1"/>
      <c r="J357" s="1"/>
      <c r="K357" s="1"/>
      <c r="L357" s="1"/>
      <c r="M357" s="1"/>
      <c r="N357" s="1"/>
      <c r="O357" s="3"/>
      <c r="P357" s="1"/>
      <c r="Q357" s="1"/>
      <c r="R357" s="1"/>
      <c r="S357" s="1"/>
    </row>
    <row r="358" spans="1:19" ht="14.25" customHeight="1">
      <c r="A358" s="1"/>
      <c r="B358" s="1"/>
      <c r="C358" s="2"/>
      <c r="D358" s="1"/>
      <c r="E358" s="109">
        <f>E352</f>
        <v>161687.03</v>
      </c>
      <c r="F358" s="1"/>
      <c r="G358" s="109"/>
      <c r="H358" s="1"/>
      <c r="I358" s="1"/>
      <c r="J358" s="1"/>
      <c r="K358" s="1"/>
      <c r="L358" s="1"/>
      <c r="M358" s="1"/>
      <c r="N358" s="1"/>
      <c r="O358" s="3"/>
      <c r="P358" s="1"/>
      <c r="Q358" s="1"/>
      <c r="R358" s="1"/>
      <c r="S358" s="1"/>
    </row>
    <row r="359" spans="1:19" ht="14.25" customHeight="1">
      <c r="A359" s="1"/>
      <c r="B359" s="1"/>
      <c r="C359" s="2"/>
      <c r="D359" s="1"/>
      <c r="E359" s="110"/>
      <c r="F359" s="1"/>
      <c r="G359" s="109"/>
      <c r="H359" s="1"/>
      <c r="I359" s="1"/>
      <c r="J359" s="1"/>
      <c r="K359" s="1"/>
      <c r="L359" s="1"/>
      <c r="M359" s="1"/>
      <c r="N359" s="1"/>
      <c r="O359" s="3"/>
      <c r="P359" s="1"/>
      <c r="Q359" s="1"/>
      <c r="R359" s="1"/>
      <c r="S359" s="1"/>
    </row>
    <row r="360" spans="1:19" ht="12.75" customHeight="1">
      <c r="A360" s="1"/>
      <c r="B360" s="1"/>
      <c r="C360" s="2"/>
      <c r="D360" s="1"/>
      <c r="E360" s="213">
        <f>SUM(E358,-E357)</f>
        <v>2.9103830456733704E-11</v>
      </c>
      <c r="F360" s="1"/>
      <c r="G360" s="214"/>
      <c r="H360" s="1"/>
      <c r="I360" s="1"/>
      <c r="J360" s="1"/>
      <c r="K360" s="1"/>
      <c r="L360" s="1"/>
      <c r="M360" s="1"/>
      <c r="N360" s="1"/>
      <c r="O360" s="3"/>
      <c r="P360" s="1"/>
      <c r="Q360" s="1"/>
      <c r="R360" s="1"/>
      <c r="S360" s="1"/>
    </row>
    <row r="361" spans="1:19" ht="12.75" customHeight="1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3"/>
      <c r="P361" s="1"/>
      <c r="Q361" s="1"/>
      <c r="R361" s="1"/>
      <c r="S361" s="1"/>
    </row>
    <row r="362" spans="1:19" ht="12.75" customHeight="1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3"/>
      <c r="P362" s="1"/>
      <c r="Q362" s="1"/>
      <c r="R362" s="1"/>
      <c r="S362" s="1"/>
    </row>
    <row r="363" spans="1:19" ht="12.75" customHeight="1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3"/>
      <c r="P363" s="1"/>
      <c r="Q363" s="1"/>
      <c r="R363" s="1"/>
      <c r="S363" s="1"/>
    </row>
    <row r="364" spans="1:19" ht="12.75" customHeight="1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3"/>
      <c r="P364" s="1"/>
      <c r="Q364" s="1"/>
      <c r="R364" s="1"/>
      <c r="S364" s="1"/>
    </row>
    <row r="365" spans="1:19" ht="12.75" customHeight="1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3"/>
      <c r="P365" s="1"/>
      <c r="Q365" s="1"/>
      <c r="R365" s="1"/>
      <c r="S365" s="1"/>
    </row>
    <row r="366" spans="1:19" ht="12.75" customHeight="1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3"/>
      <c r="P366" s="1"/>
      <c r="Q366" s="1"/>
      <c r="R366" s="1"/>
      <c r="S366" s="1"/>
    </row>
    <row r="367" spans="1:19" ht="12.75" customHeight="1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3"/>
      <c r="P367" s="1"/>
      <c r="Q367" s="1"/>
      <c r="R367" s="1"/>
      <c r="S367" s="1"/>
    </row>
    <row r="368" spans="1:19" ht="12.75" customHeight="1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3"/>
      <c r="P368" s="1"/>
      <c r="Q368" s="1"/>
      <c r="R368" s="1"/>
      <c r="S368" s="1"/>
    </row>
    <row r="369" spans="1:19" ht="30" customHeight="1">
      <c r="A369" s="1"/>
      <c r="B369" s="1"/>
      <c r="C369" s="2"/>
      <c r="D369" s="1"/>
      <c r="E369" s="215"/>
      <c r="F369" s="1"/>
      <c r="G369" s="1"/>
      <c r="H369" s="1"/>
      <c r="I369" s="1"/>
      <c r="J369" s="1"/>
      <c r="K369" s="1"/>
      <c r="L369" s="1"/>
      <c r="M369" s="1"/>
      <c r="N369" s="1"/>
      <c r="O369" s="3"/>
      <c r="P369" s="1"/>
      <c r="Q369" s="1"/>
      <c r="R369" s="1"/>
      <c r="S369" s="1"/>
    </row>
    <row r="370" spans="1:19" ht="12.75" customHeight="1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3"/>
      <c r="P370" s="1"/>
      <c r="Q370" s="1"/>
      <c r="R370" s="1"/>
      <c r="S370" s="1"/>
    </row>
    <row r="371" spans="1:19" ht="12.75" customHeight="1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3"/>
      <c r="P371" s="1"/>
      <c r="Q371" s="1"/>
      <c r="R371" s="1"/>
      <c r="S371" s="1"/>
    </row>
    <row r="372" spans="1:19" ht="12.75" customHeight="1">
      <c r="C372" s="2"/>
      <c r="O372" s="89"/>
    </row>
    <row r="373" spans="1:19" ht="12.75" customHeight="1">
      <c r="C373" s="88"/>
      <c r="O373" s="89"/>
    </row>
    <row r="374" spans="1:19" ht="12.75" customHeight="1">
      <c r="C374" s="88"/>
      <c r="O374" s="89"/>
    </row>
    <row r="375" spans="1:19" ht="12.75" customHeight="1">
      <c r="C375" s="88"/>
      <c r="O375" s="89"/>
    </row>
    <row r="376" spans="1:19" ht="12.75" customHeight="1">
      <c r="C376" s="88"/>
      <c r="O376" s="89"/>
    </row>
    <row r="377" spans="1:19" ht="12.75" customHeight="1">
      <c r="C377" s="88"/>
      <c r="O377" s="89"/>
    </row>
    <row r="378" spans="1:19" ht="12.75" customHeight="1">
      <c r="C378" s="88"/>
      <c r="O378" s="89"/>
    </row>
    <row r="379" spans="1:19" ht="12.75" customHeight="1">
      <c r="C379" s="88"/>
      <c r="O379" s="89"/>
    </row>
    <row r="380" spans="1:19" ht="12.75" customHeight="1">
      <c r="C380" s="88"/>
      <c r="O380" s="89"/>
    </row>
    <row r="381" spans="1:19" ht="12.75" customHeight="1">
      <c r="C381" s="88"/>
      <c r="O381" s="89"/>
    </row>
    <row r="382" spans="1:19" ht="12.75" customHeight="1">
      <c r="C382" s="88"/>
      <c r="O382" s="89"/>
    </row>
    <row r="383" spans="1:19" ht="12.75" customHeight="1">
      <c r="C383" s="88"/>
      <c r="O383" s="89"/>
    </row>
    <row r="384" spans="1:19" ht="12.75" customHeight="1">
      <c r="C384" s="88"/>
      <c r="O384" s="89"/>
    </row>
    <row r="385" spans="3:15" ht="12.75" customHeight="1">
      <c r="C385" s="88"/>
      <c r="O385" s="89"/>
    </row>
    <row r="386" spans="3:15" ht="12.75" customHeight="1">
      <c r="C386" s="88"/>
      <c r="O386" s="89"/>
    </row>
    <row r="387" spans="3:15" ht="12.75" customHeight="1">
      <c r="C387" s="88"/>
      <c r="O387" s="89"/>
    </row>
    <row r="388" spans="3:15" ht="12.75" customHeight="1">
      <c r="C388" s="88"/>
      <c r="O388" s="89"/>
    </row>
    <row r="389" spans="3:15" ht="12.75" customHeight="1">
      <c r="C389" s="88"/>
      <c r="O389" s="89"/>
    </row>
    <row r="390" spans="3:15" ht="12.75" customHeight="1">
      <c r="C390" s="88"/>
      <c r="O390" s="89"/>
    </row>
    <row r="391" spans="3:15" ht="12.75" customHeight="1">
      <c r="C391" s="88"/>
      <c r="O391" s="89"/>
    </row>
    <row r="392" spans="3:15" ht="12.75" customHeight="1">
      <c r="C392" s="88"/>
      <c r="O392" s="89"/>
    </row>
    <row r="393" spans="3:15" ht="12.75" customHeight="1">
      <c r="C393" s="88"/>
      <c r="O393" s="89"/>
    </row>
    <row r="394" spans="3:15" ht="12.75" customHeight="1">
      <c r="C394" s="88"/>
      <c r="O394" s="89"/>
    </row>
    <row r="395" spans="3:15" ht="12.75" customHeight="1">
      <c r="C395" s="88"/>
      <c r="O395" s="89"/>
    </row>
    <row r="396" spans="3:15" ht="12.75" customHeight="1">
      <c r="C396" s="88"/>
      <c r="O396" s="89"/>
    </row>
    <row r="397" spans="3:15" ht="12.75" customHeight="1">
      <c r="C397" s="88"/>
      <c r="O397" s="89"/>
    </row>
    <row r="398" spans="3:15" ht="12.75" customHeight="1">
      <c r="C398" s="88"/>
      <c r="O398" s="89"/>
    </row>
    <row r="399" spans="3:15" ht="12.75" customHeight="1">
      <c r="C399" s="88"/>
      <c r="O399" s="89"/>
    </row>
    <row r="400" spans="3:15" ht="12.75" customHeight="1">
      <c r="C400" s="88"/>
      <c r="O400" s="89"/>
    </row>
    <row r="401" spans="3:15" ht="12.75" customHeight="1">
      <c r="C401" s="88"/>
      <c r="O401" s="89"/>
    </row>
    <row r="402" spans="3:15" ht="12.75" customHeight="1">
      <c r="C402" s="88"/>
      <c r="O402" s="89"/>
    </row>
    <row r="403" spans="3:15" ht="12.75" customHeight="1">
      <c r="C403" s="88"/>
      <c r="O403" s="89"/>
    </row>
    <row r="404" spans="3:15" ht="12.75" customHeight="1">
      <c r="C404" s="88"/>
      <c r="O404" s="89"/>
    </row>
    <row r="405" spans="3:15" ht="12.75" customHeight="1">
      <c r="C405" s="88"/>
      <c r="O405" s="89"/>
    </row>
    <row r="406" spans="3:15" ht="12.75" customHeight="1">
      <c r="C406" s="88"/>
      <c r="O406" s="89"/>
    </row>
    <row r="407" spans="3:15" ht="12.75" customHeight="1">
      <c r="C407" s="88"/>
      <c r="O407" s="89"/>
    </row>
    <row r="408" spans="3:15" ht="12.75" customHeight="1">
      <c r="C408" s="88"/>
      <c r="O408" s="89"/>
    </row>
    <row r="409" spans="3:15" ht="12.75" customHeight="1">
      <c r="C409" s="88"/>
      <c r="O409" s="89"/>
    </row>
    <row r="410" spans="3:15" ht="12.75" customHeight="1">
      <c r="C410" s="88"/>
      <c r="O410" s="89"/>
    </row>
    <row r="411" spans="3:15" ht="12.75" customHeight="1">
      <c r="C411" s="88"/>
      <c r="O411" s="89"/>
    </row>
    <row r="412" spans="3:15" ht="12.75" customHeight="1">
      <c r="C412" s="88"/>
      <c r="O412" s="89"/>
    </row>
    <row r="413" spans="3:15" ht="12.75" customHeight="1">
      <c r="C413" s="88"/>
      <c r="O413" s="89"/>
    </row>
    <row r="414" spans="3:15" ht="12.75" customHeight="1">
      <c r="C414" s="88"/>
      <c r="O414" s="89"/>
    </row>
    <row r="415" spans="3:15" ht="12.75" customHeight="1">
      <c r="C415" s="88"/>
      <c r="O415" s="89"/>
    </row>
    <row r="416" spans="3:15" ht="12.75" customHeight="1">
      <c r="C416" s="88"/>
      <c r="O416" s="89"/>
    </row>
    <row r="417" spans="3:15" ht="12.75" customHeight="1">
      <c r="C417" s="88"/>
      <c r="O417" s="89"/>
    </row>
    <row r="418" spans="3:15" ht="12.75" customHeight="1">
      <c r="C418" s="88"/>
      <c r="O418" s="89"/>
    </row>
    <row r="419" spans="3:15" ht="12.75" customHeight="1">
      <c r="C419" s="88"/>
      <c r="O419" s="89"/>
    </row>
    <row r="420" spans="3:15" ht="12.75" customHeight="1">
      <c r="C420" s="88"/>
      <c r="O420" s="89"/>
    </row>
    <row r="421" spans="3:15" ht="12.75" customHeight="1">
      <c r="C421" s="88"/>
      <c r="O421" s="89"/>
    </row>
    <row r="422" spans="3:15" ht="12.75" customHeight="1">
      <c r="C422" s="88"/>
      <c r="O422" s="89"/>
    </row>
    <row r="423" spans="3:15" ht="12.75" customHeight="1">
      <c r="C423" s="88"/>
      <c r="O423" s="89"/>
    </row>
    <row r="424" spans="3:15" ht="12.75" customHeight="1">
      <c r="C424" s="88"/>
      <c r="O424" s="89"/>
    </row>
    <row r="425" spans="3:15" ht="12.75" customHeight="1">
      <c r="C425" s="88"/>
      <c r="O425" s="89"/>
    </row>
    <row r="426" spans="3:15" ht="12.75" customHeight="1">
      <c r="C426" s="88"/>
      <c r="O426" s="89"/>
    </row>
    <row r="427" spans="3:15" ht="12.75" customHeight="1">
      <c r="C427" s="88"/>
      <c r="O427" s="89"/>
    </row>
    <row r="428" spans="3:15" ht="12.75" customHeight="1">
      <c r="C428" s="88"/>
      <c r="O428" s="89"/>
    </row>
    <row r="429" spans="3:15" ht="12.75" customHeight="1">
      <c r="C429" s="88"/>
      <c r="O429" s="89"/>
    </row>
    <row r="430" spans="3:15" ht="12.75" customHeight="1">
      <c r="C430" s="88"/>
      <c r="O430" s="89"/>
    </row>
    <row r="431" spans="3:15" ht="12.75" customHeight="1">
      <c r="C431" s="88"/>
      <c r="O431" s="89"/>
    </row>
    <row r="432" spans="3:15" ht="12.75" customHeight="1">
      <c r="C432" s="88"/>
      <c r="O432" s="89"/>
    </row>
    <row r="433" spans="3:15" ht="12.75" customHeight="1">
      <c r="C433" s="88"/>
      <c r="O433" s="89"/>
    </row>
    <row r="434" spans="3:15" ht="12.75" customHeight="1">
      <c r="C434" s="88"/>
      <c r="O434" s="89"/>
    </row>
    <row r="435" spans="3:15" ht="12.75" customHeight="1">
      <c r="C435" s="88"/>
      <c r="O435" s="89"/>
    </row>
    <row r="436" spans="3:15" ht="12.75" customHeight="1">
      <c r="C436" s="88"/>
      <c r="O436" s="89"/>
    </row>
    <row r="437" spans="3:15" ht="12.75" customHeight="1">
      <c r="C437" s="88"/>
      <c r="O437" s="89"/>
    </row>
    <row r="438" spans="3:15" ht="12.75" customHeight="1">
      <c r="C438" s="88"/>
      <c r="O438" s="89"/>
    </row>
    <row r="439" spans="3:15" ht="12.75" customHeight="1">
      <c r="C439" s="88"/>
      <c r="O439" s="89"/>
    </row>
    <row r="440" spans="3:15" ht="12.75" customHeight="1">
      <c r="C440" s="88"/>
      <c r="O440" s="89"/>
    </row>
    <row r="441" spans="3:15" ht="12.75" customHeight="1">
      <c r="C441" s="88"/>
      <c r="O441" s="89"/>
    </row>
    <row r="442" spans="3:15" ht="12.75" customHeight="1">
      <c r="C442" s="88"/>
      <c r="O442" s="89"/>
    </row>
    <row r="443" spans="3:15" ht="12.75" customHeight="1">
      <c r="C443" s="88"/>
      <c r="O443" s="89"/>
    </row>
    <row r="444" spans="3:15" ht="12.75" customHeight="1">
      <c r="C444" s="88"/>
      <c r="O444" s="89"/>
    </row>
    <row r="445" spans="3:15" ht="12.75" customHeight="1">
      <c r="C445" s="88"/>
      <c r="O445" s="89"/>
    </row>
    <row r="446" spans="3:15" ht="12.75" customHeight="1">
      <c r="C446" s="88"/>
      <c r="O446" s="89"/>
    </row>
    <row r="447" spans="3:15" ht="12.75" customHeight="1">
      <c r="C447" s="88"/>
      <c r="O447" s="89"/>
    </row>
    <row r="448" spans="3:15" ht="12.75" customHeight="1">
      <c r="C448" s="88"/>
      <c r="O448" s="89"/>
    </row>
    <row r="449" spans="3:15" ht="12.75" customHeight="1">
      <c r="C449" s="88"/>
      <c r="O449" s="89"/>
    </row>
    <row r="450" spans="3:15" ht="12.75" customHeight="1">
      <c r="C450" s="88"/>
      <c r="O450" s="89"/>
    </row>
    <row r="451" spans="3:15" ht="12.75" customHeight="1">
      <c r="C451" s="88"/>
      <c r="O451" s="89"/>
    </row>
    <row r="452" spans="3:15" ht="12.75" customHeight="1">
      <c r="C452" s="88"/>
      <c r="O452" s="89"/>
    </row>
    <row r="453" spans="3:15" ht="12.75" customHeight="1">
      <c r="C453" s="88"/>
      <c r="O453" s="89"/>
    </row>
    <row r="454" spans="3:15" ht="12.75" customHeight="1">
      <c r="C454" s="88"/>
      <c r="O454" s="89"/>
    </row>
    <row r="455" spans="3:15" ht="12.75" customHeight="1">
      <c r="C455" s="88"/>
      <c r="O455" s="89"/>
    </row>
    <row r="456" spans="3:15" ht="12.75" customHeight="1">
      <c r="C456" s="88"/>
      <c r="O456" s="89"/>
    </row>
    <row r="457" spans="3:15" ht="12.75" customHeight="1">
      <c r="C457" s="88"/>
      <c r="O457" s="89"/>
    </row>
    <row r="458" spans="3:15" ht="12.75" customHeight="1">
      <c r="C458" s="88"/>
      <c r="O458" s="89"/>
    </row>
    <row r="459" spans="3:15" ht="12.75" customHeight="1">
      <c r="C459" s="88"/>
      <c r="O459" s="89"/>
    </row>
    <row r="460" spans="3:15" ht="12.75" customHeight="1">
      <c r="C460" s="88"/>
      <c r="O460" s="89"/>
    </row>
    <row r="461" spans="3:15" ht="12.75" customHeight="1">
      <c r="C461" s="88"/>
      <c r="O461" s="89"/>
    </row>
    <row r="462" spans="3:15" ht="12.75" customHeight="1">
      <c r="C462" s="88"/>
      <c r="O462" s="89"/>
    </row>
    <row r="463" spans="3:15" ht="12.75" customHeight="1">
      <c r="C463" s="88"/>
      <c r="O463" s="89"/>
    </row>
    <row r="464" spans="3:15" ht="12.75" customHeight="1">
      <c r="C464" s="88"/>
      <c r="O464" s="89"/>
    </row>
    <row r="465" spans="3:15" ht="12.75" customHeight="1">
      <c r="C465" s="88"/>
      <c r="O465" s="89"/>
    </row>
    <row r="466" spans="3:15" ht="12.75" customHeight="1">
      <c r="C466" s="88"/>
      <c r="O466" s="89"/>
    </row>
    <row r="467" spans="3:15" ht="12.75" customHeight="1">
      <c r="C467" s="88"/>
      <c r="O467" s="89"/>
    </row>
    <row r="468" spans="3:15" ht="12.75" customHeight="1">
      <c r="C468" s="88"/>
      <c r="O468" s="89"/>
    </row>
    <row r="469" spans="3:15" ht="12.75" customHeight="1">
      <c r="C469" s="88"/>
      <c r="O469" s="89"/>
    </row>
    <row r="470" spans="3:15" ht="12.75" customHeight="1">
      <c r="C470" s="88"/>
      <c r="O470" s="89"/>
    </row>
    <row r="471" spans="3:15" ht="12.75" customHeight="1">
      <c r="C471" s="88"/>
      <c r="O471" s="89"/>
    </row>
    <row r="472" spans="3:15" ht="12.75" customHeight="1">
      <c r="C472" s="88"/>
      <c r="O472" s="89"/>
    </row>
    <row r="473" spans="3:15" ht="12.75" customHeight="1">
      <c r="C473" s="88"/>
      <c r="O473" s="89"/>
    </row>
    <row r="474" spans="3:15" ht="12.75" customHeight="1">
      <c r="C474" s="88"/>
      <c r="O474" s="89"/>
    </row>
    <row r="475" spans="3:15" ht="12.75" customHeight="1">
      <c r="C475" s="88"/>
      <c r="O475" s="89"/>
    </row>
    <row r="476" spans="3:15" ht="12.75" customHeight="1">
      <c r="C476" s="88"/>
      <c r="O476" s="89"/>
    </row>
    <row r="477" spans="3:15" ht="12.75" customHeight="1">
      <c r="C477" s="88"/>
      <c r="O477" s="89"/>
    </row>
    <row r="478" spans="3:15" ht="12.75" customHeight="1">
      <c r="C478" s="88"/>
      <c r="O478" s="89"/>
    </row>
    <row r="479" spans="3:15" ht="12.75" customHeight="1">
      <c r="C479" s="88"/>
      <c r="O479" s="89"/>
    </row>
    <row r="480" spans="3:15" ht="12.75" customHeight="1">
      <c r="C480" s="88"/>
      <c r="O480" s="89"/>
    </row>
    <row r="481" spans="3:15" ht="12.75" customHeight="1">
      <c r="C481" s="88"/>
      <c r="O481" s="89"/>
    </row>
    <row r="482" spans="3:15" ht="12.75" customHeight="1">
      <c r="C482" s="88"/>
      <c r="O482" s="89"/>
    </row>
    <row r="483" spans="3:15" ht="12.75" customHeight="1">
      <c r="C483" s="88"/>
      <c r="O483" s="89"/>
    </row>
    <row r="484" spans="3:15" ht="12.75" customHeight="1">
      <c r="C484" s="88"/>
      <c r="O484" s="89"/>
    </row>
    <row r="485" spans="3:15" ht="12.75" customHeight="1">
      <c r="C485" s="88"/>
      <c r="O485" s="89"/>
    </row>
    <row r="486" spans="3:15" ht="12.75" customHeight="1">
      <c r="C486" s="88"/>
      <c r="O486" s="89"/>
    </row>
    <row r="487" spans="3:15" ht="12.75" customHeight="1">
      <c r="C487" s="88"/>
      <c r="O487" s="89"/>
    </row>
    <row r="488" spans="3:15" ht="12.75" customHeight="1">
      <c r="C488" s="88"/>
      <c r="O488" s="89"/>
    </row>
    <row r="489" spans="3:15" ht="12.75" customHeight="1">
      <c r="C489" s="88"/>
      <c r="O489" s="89"/>
    </row>
    <row r="490" spans="3:15" ht="12.75" customHeight="1">
      <c r="C490" s="88"/>
      <c r="O490" s="89"/>
    </row>
    <row r="491" spans="3:15" ht="12.75" customHeight="1">
      <c r="C491" s="88"/>
      <c r="O491" s="89"/>
    </row>
    <row r="492" spans="3:15" ht="12.75" customHeight="1">
      <c r="C492" s="88"/>
      <c r="O492" s="89"/>
    </row>
    <row r="493" spans="3:15" ht="12.75" customHeight="1">
      <c r="C493" s="88"/>
      <c r="O493" s="89"/>
    </row>
    <row r="494" spans="3:15" ht="12.75" customHeight="1">
      <c r="C494" s="88"/>
      <c r="O494" s="89"/>
    </row>
    <row r="495" spans="3:15" ht="12.75" customHeight="1">
      <c r="C495" s="88"/>
      <c r="O495" s="89"/>
    </row>
    <row r="496" spans="3:15" ht="12.75" customHeight="1">
      <c r="C496" s="88"/>
      <c r="O496" s="89"/>
    </row>
    <row r="497" spans="3:15" ht="12.75" customHeight="1">
      <c r="C497" s="88"/>
      <c r="O497" s="89"/>
    </row>
    <row r="498" spans="3:15" ht="12.75" customHeight="1">
      <c r="C498" s="88"/>
      <c r="O498" s="89"/>
    </row>
    <row r="499" spans="3:15" ht="12.75" customHeight="1">
      <c r="C499" s="88"/>
      <c r="O499" s="89"/>
    </row>
    <row r="500" spans="3:15" ht="12.75" customHeight="1">
      <c r="C500" s="88"/>
      <c r="O500" s="89"/>
    </row>
    <row r="501" spans="3:15" ht="12.75" customHeight="1">
      <c r="C501" s="88"/>
      <c r="O501" s="89"/>
    </row>
    <row r="502" spans="3:15" ht="12.75" customHeight="1">
      <c r="C502" s="88"/>
      <c r="O502" s="89"/>
    </row>
    <row r="503" spans="3:15" ht="12.75" customHeight="1">
      <c r="C503" s="88"/>
      <c r="O503" s="89"/>
    </row>
    <row r="504" spans="3:15" ht="12.75" customHeight="1">
      <c r="C504" s="88"/>
      <c r="O504" s="89"/>
    </row>
    <row r="505" spans="3:15" ht="12.75" customHeight="1">
      <c r="C505" s="88"/>
      <c r="O505" s="89"/>
    </row>
    <row r="506" spans="3:15" ht="12.75" customHeight="1">
      <c r="C506" s="88"/>
      <c r="O506" s="89"/>
    </row>
    <row r="507" spans="3:15" ht="12.75" customHeight="1">
      <c r="C507" s="88"/>
      <c r="O507" s="89"/>
    </row>
    <row r="508" spans="3:15" ht="12.75" customHeight="1">
      <c r="C508" s="88"/>
      <c r="O508" s="89"/>
    </row>
    <row r="509" spans="3:15" ht="12.75" customHeight="1">
      <c r="C509" s="88"/>
      <c r="O509" s="89"/>
    </row>
    <row r="510" spans="3:15" ht="12.75" customHeight="1">
      <c r="C510" s="88"/>
      <c r="O510" s="89"/>
    </row>
    <row r="511" spans="3:15" ht="12.75" customHeight="1">
      <c r="C511" s="88"/>
      <c r="O511" s="89"/>
    </row>
    <row r="512" spans="3:15" ht="12.75" customHeight="1">
      <c r="C512" s="88"/>
      <c r="O512" s="89"/>
    </row>
    <row r="513" spans="3:15" ht="12.75" customHeight="1">
      <c r="C513" s="88"/>
      <c r="O513" s="89"/>
    </row>
    <row r="514" spans="3:15" ht="12.75" customHeight="1">
      <c r="C514" s="88"/>
      <c r="O514" s="89"/>
    </row>
    <row r="515" spans="3:15" ht="12.75" customHeight="1">
      <c r="C515" s="88"/>
      <c r="O515" s="89"/>
    </row>
    <row r="516" spans="3:15" ht="12.75" customHeight="1">
      <c r="C516" s="88"/>
      <c r="O516" s="89"/>
    </row>
    <row r="517" spans="3:15" ht="12.75" customHeight="1">
      <c r="C517" s="88"/>
      <c r="O517" s="89"/>
    </row>
    <row r="518" spans="3:15" ht="12.75" customHeight="1">
      <c r="C518" s="88"/>
      <c r="O518" s="89"/>
    </row>
    <row r="519" spans="3:15" ht="12.75" customHeight="1">
      <c r="C519" s="88"/>
      <c r="O519" s="89"/>
    </row>
    <row r="520" spans="3:15" ht="12.75" customHeight="1">
      <c r="C520" s="88"/>
      <c r="O520" s="89"/>
    </row>
    <row r="521" spans="3:15" ht="12.75" customHeight="1">
      <c r="C521" s="88"/>
      <c r="O521" s="89"/>
    </row>
    <row r="522" spans="3:15" ht="12.75" customHeight="1">
      <c r="C522" s="88"/>
      <c r="O522" s="89"/>
    </row>
    <row r="523" spans="3:15" ht="12.75" customHeight="1">
      <c r="C523" s="88"/>
      <c r="O523" s="89"/>
    </row>
    <row r="524" spans="3:15" ht="12.75" customHeight="1">
      <c r="C524" s="88"/>
      <c r="O524" s="89"/>
    </row>
    <row r="525" spans="3:15" ht="12.75" customHeight="1">
      <c r="C525" s="88"/>
      <c r="O525" s="89"/>
    </row>
    <row r="526" spans="3:15" ht="12.75" customHeight="1">
      <c r="C526" s="88"/>
      <c r="O526" s="89"/>
    </row>
    <row r="527" spans="3:15" ht="12.75" customHeight="1">
      <c r="C527" s="88"/>
      <c r="O527" s="89"/>
    </row>
    <row r="528" spans="3:15" ht="12.75" customHeight="1">
      <c r="C528" s="88"/>
      <c r="O528" s="89"/>
    </row>
    <row r="529" spans="3:15" ht="12.75" customHeight="1">
      <c r="C529" s="88"/>
      <c r="O529" s="89"/>
    </row>
    <row r="530" spans="3:15" ht="12.75" customHeight="1">
      <c r="C530" s="88"/>
      <c r="O530" s="89"/>
    </row>
    <row r="531" spans="3:15" ht="12.75" customHeight="1">
      <c r="C531" s="88"/>
      <c r="O531" s="89"/>
    </row>
    <row r="532" spans="3:15" ht="12.75" customHeight="1">
      <c r="C532" s="88"/>
      <c r="O532" s="89"/>
    </row>
    <row r="533" spans="3:15" ht="12.75" customHeight="1">
      <c r="C533" s="88"/>
      <c r="O533" s="89"/>
    </row>
    <row r="534" spans="3:15" ht="12.75" customHeight="1">
      <c r="C534" s="88"/>
      <c r="O534" s="89"/>
    </row>
    <row r="535" spans="3:15" ht="12.75" customHeight="1">
      <c r="C535" s="88"/>
      <c r="O535" s="89"/>
    </row>
    <row r="536" spans="3:15" ht="12.75" customHeight="1">
      <c r="C536" s="88"/>
      <c r="O536" s="89"/>
    </row>
    <row r="537" spans="3:15" ht="12.75" customHeight="1">
      <c r="C537" s="88"/>
      <c r="O537" s="89"/>
    </row>
    <row r="538" spans="3:15" ht="12.75" customHeight="1">
      <c r="C538" s="88"/>
      <c r="O538" s="89"/>
    </row>
    <row r="539" spans="3:15" ht="12.75" customHeight="1">
      <c r="C539" s="88"/>
      <c r="O539" s="89"/>
    </row>
    <row r="540" spans="3:15" ht="12.75" customHeight="1">
      <c r="C540" s="88"/>
      <c r="O540" s="89"/>
    </row>
    <row r="541" spans="3:15" ht="12.75" customHeight="1">
      <c r="C541" s="88"/>
      <c r="O541" s="89"/>
    </row>
    <row r="542" spans="3:15" ht="12.75" customHeight="1">
      <c r="C542" s="88"/>
      <c r="O542" s="89"/>
    </row>
    <row r="543" spans="3:15" ht="12.75" customHeight="1">
      <c r="C543" s="88"/>
      <c r="O543" s="89"/>
    </row>
    <row r="544" spans="3:15" ht="12.75" customHeight="1">
      <c r="C544" s="88"/>
      <c r="O544" s="89"/>
    </row>
    <row r="545" spans="3:15" ht="12.75" customHeight="1">
      <c r="C545" s="88"/>
      <c r="O545" s="89"/>
    </row>
    <row r="546" spans="3:15" ht="12.75" customHeight="1">
      <c r="C546" s="88"/>
      <c r="O546" s="89"/>
    </row>
    <row r="547" spans="3:15" ht="12.75" customHeight="1">
      <c r="C547" s="88"/>
      <c r="O547" s="89"/>
    </row>
    <row r="548" spans="3:15" ht="12.75" customHeight="1">
      <c r="C548" s="88"/>
      <c r="O548" s="89"/>
    </row>
    <row r="549" spans="3:15" ht="12.75" customHeight="1">
      <c r="C549" s="88"/>
      <c r="O549" s="89"/>
    </row>
    <row r="550" spans="3:15" ht="12.75" customHeight="1">
      <c r="C550" s="88"/>
      <c r="O550" s="89"/>
    </row>
    <row r="551" spans="3:15" ht="12.75" customHeight="1">
      <c r="C551" s="88"/>
      <c r="O551" s="89"/>
    </row>
    <row r="552" spans="3:15" ht="12.75" customHeight="1">
      <c r="C552" s="88"/>
      <c r="O552" s="89"/>
    </row>
    <row r="553" spans="3:15" ht="12.75" customHeight="1">
      <c r="C553" s="88"/>
      <c r="O553" s="89"/>
    </row>
    <row r="554" spans="3:15" ht="12.75" customHeight="1">
      <c r="C554" s="88"/>
      <c r="O554" s="89"/>
    </row>
    <row r="555" spans="3:15" ht="12.75" customHeight="1">
      <c r="C555" s="88"/>
      <c r="O555" s="89"/>
    </row>
    <row r="556" spans="3:15" ht="12.75" customHeight="1">
      <c r="C556" s="88"/>
      <c r="O556" s="89"/>
    </row>
    <row r="557" spans="3:15" ht="12.75" customHeight="1">
      <c r="C557" s="88"/>
      <c r="O557" s="89"/>
    </row>
    <row r="558" spans="3:15" ht="12.75" customHeight="1">
      <c r="C558" s="88"/>
      <c r="O558" s="89"/>
    </row>
    <row r="559" spans="3:15" ht="12.75" customHeight="1">
      <c r="C559" s="88"/>
      <c r="O559" s="89"/>
    </row>
    <row r="560" spans="3:15" ht="12.75" customHeight="1">
      <c r="C560" s="88"/>
      <c r="O560" s="89"/>
    </row>
    <row r="561" spans="3:15" ht="12.75" customHeight="1">
      <c r="C561" s="88"/>
      <c r="O561" s="89"/>
    </row>
    <row r="562" spans="3:15" ht="12.75" customHeight="1">
      <c r="C562" s="88"/>
      <c r="O562" s="89"/>
    </row>
    <row r="563" spans="3:15" ht="12.75" customHeight="1">
      <c r="C563" s="88"/>
      <c r="O563" s="89"/>
    </row>
    <row r="564" spans="3:15" ht="12.75" customHeight="1">
      <c r="C564" s="88"/>
      <c r="O564" s="89"/>
    </row>
    <row r="565" spans="3:15" ht="12.75" customHeight="1">
      <c r="C565" s="88"/>
      <c r="O565" s="89"/>
    </row>
    <row r="566" spans="3:15" ht="12.75" customHeight="1">
      <c r="C566" s="88"/>
      <c r="O566" s="89"/>
    </row>
    <row r="567" spans="3:15" ht="12.75" customHeight="1">
      <c r="C567" s="88"/>
      <c r="O567" s="89"/>
    </row>
    <row r="568" spans="3:15" ht="12.75" customHeight="1">
      <c r="C568" s="88"/>
      <c r="O568" s="89"/>
    </row>
    <row r="569" spans="3:15" ht="12.75" customHeight="1">
      <c r="C569" s="88"/>
      <c r="O569" s="89"/>
    </row>
    <row r="570" spans="3:15" ht="12.75" customHeight="1">
      <c r="C570" s="88"/>
      <c r="O570" s="89"/>
    </row>
    <row r="571" spans="3:15" ht="12.75" customHeight="1">
      <c r="C571" s="88"/>
      <c r="O571" s="89"/>
    </row>
    <row r="572" spans="3:15" ht="12.75" customHeight="1">
      <c r="C572" s="88"/>
      <c r="O572" s="89"/>
    </row>
    <row r="573" spans="3:15" ht="12.75" customHeight="1">
      <c r="C573" s="88"/>
      <c r="O573" s="89"/>
    </row>
    <row r="574" spans="3:15" ht="12.75" customHeight="1">
      <c r="C574" s="88"/>
      <c r="O574" s="89"/>
    </row>
    <row r="575" spans="3:15" ht="12.75" customHeight="1">
      <c r="C575" s="88"/>
      <c r="O575" s="89"/>
    </row>
    <row r="576" spans="3:15" ht="12.75" customHeight="1">
      <c r="C576" s="88"/>
      <c r="O576" s="89"/>
    </row>
    <row r="577" spans="3:15" ht="12.75" customHeight="1">
      <c r="C577" s="88"/>
      <c r="O577" s="89"/>
    </row>
    <row r="578" spans="3:15" ht="12.75" customHeight="1">
      <c r="C578" s="88"/>
      <c r="O578" s="89"/>
    </row>
    <row r="579" spans="3:15" ht="12.75" customHeight="1">
      <c r="C579" s="88"/>
      <c r="O579" s="89"/>
    </row>
    <row r="580" spans="3:15" ht="12.75" customHeight="1">
      <c r="C580" s="88"/>
      <c r="O580" s="89"/>
    </row>
    <row r="581" spans="3:15" ht="12.75" customHeight="1">
      <c r="C581" s="88"/>
      <c r="O581" s="89"/>
    </row>
    <row r="582" spans="3:15" ht="12.75" customHeight="1">
      <c r="C582" s="88"/>
      <c r="O582" s="89"/>
    </row>
    <row r="583" spans="3:15" ht="12.75" customHeight="1">
      <c r="C583" s="88"/>
      <c r="O583" s="89"/>
    </row>
    <row r="584" spans="3:15" ht="12.75" customHeight="1">
      <c r="C584" s="88"/>
      <c r="O584" s="89"/>
    </row>
    <row r="585" spans="3:15" ht="12.75" customHeight="1">
      <c r="C585" s="88"/>
      <c r="O585" s="89"/>
    </row>
    <row r="586" spans="3:15" ht="12.75" customHeight="1">
      <c r="C586" s="88"/>
      <c r="O586" s="89"/>
    </row>
    <row r="587" spans="3:15" ht="12.75" customHeight="1">
      <c r="C587" s="88"/>
      <c r="O587" s="89"/>
    </row>
    <row r="588" spans="3:15" ht="12.75" customHeight="1">
      <c r="C588" s="88"/>
      <c r="O588" s="89"/>
    </row>
    <row r="589" spans="3:15" ht="12.75" customHeight="1">
      <c r="C589" s="88"/>
      <c r="O589" s="89"/>
    </row>
    <row r="590" spans="3:15" ht="12.75" customHeight="1">
      <c r="C590" s="88"/>
      <c r="O590" s="89"/>
    </row>
    <row r="591" spans="3:15" ht="12.75" customHeight="1">
      <c r="C591" s="88"/>
      <c r="O591" s="89"/>
    </row>
    <row r="592" spans="3:15" ht="12.75" customHeight="1">
      <c r="C592" s="88"/>
      <c r="O592" s="89"/>
    </row>
    <row r="593" spans="3:15" ht="12.75" customHeight="1">
      <c r="C593" s="88"/>
      <c r="O593" s="89"/>
    </row>
    <row r="594" spans="3:15" ht="12.75" customHeight="1">
      <c r="C594" s="88"/>
      <c r="O594" s="89"/>
    </row>
    <row r="595" spans="3:15" ht="12.75" customHeight="1">
      <c r="C595" s="88"/>
      <c r="O595" s="89"/>
    </row>
    <row r="596" spans="3:15" ht="12.75" customHeight="1">
      <c r="C596" s="88"/>
      <c r="O596" s="89"/>
    </row>
    <row r="597" spans="3:15" ht="12.75" customHeight="1">
      <c r="C597" s="88"/>
      <c r="O597" s="89"/>
    </row>
    <row r="598" spans="3:15" ht="12.75" customHeight="1">
      <c r="C598" s="88"/>
      <c r="O598" s="89"/>
    </row>
    <row r="599" spans="3:15" ht="12.75" customHeight="1">
      <c r="C599" s="88"/>
      <c r="O599" s="89"/>
    </row>
    <row r="600" spans="3:15" ht="12.75" customHeight="1">
      <c r="C600" s="88"/>
      <c r="O600" s="89"/>
    </row>
    <row r="601" spans="3:15" ht="12.75" customHeight="1">
      <c r="C601" s="88"/>
      <c r="O601" s="89"/>
    </row>
    <row r="602" spans="3:15" ht="12.75" customHeight="1">
      <c r="C602" s="88"/>
      <c r="O602" s="89"/>
    </row>
    <row r="603" spans="3:15" ht="12.75" customHeight="1">
      <c r="C603" s="88"/>
      <c r="O603" s="89"/>
    </row>
    <row r="604" spans="3:15" ht="12.75" customHeight="1">
      <c r="C604" s="88"/>
      <c r="O604" s="89"/>
    </row>
    <row r="605" spans="3:15" ht="12.75" customHeight="1">
      <c r="C605" s="88"/>
      <c r="O605" s="89"/>
    </row>
    <row r="606" spans="3:15" ht="12.75" customHeight="1">
      <c r="C606" s="88"/>
      <c r="O606" s="89"/>
    </row>
    <row r="607" spans="3:15" ht="12.75" customHeight="1">
      <c r="C607" s="88"/>
      <c r="O607" s="89"/>
    </row>
    <row r="608" spans="3:15" ht="12.75" customHeight="1">
      <c r="C608" s="88"/>
      <c r="O608" s="89"/>
    </row>
    <row r="609" spans="3:15" ht="12.75" customHeight="1">
      <c r="C609" s="88"/>
      <c r="O609" s="89"/>
    </row>
    <row r="610" spans="3:15" ht="12.75" customHeight="1">
      <c r="C610" s="88"/>
      <c r="O610" s="89"/>
    </row>
    <row r="611" spans="3:15" ht="12.75" customHeight="1">
      <c r="C611" s="88"/>
      <c r="O611" s="89"/>
    </row>
    <row r="612" spans="3:15" ht="12.75" customHeight="1">
      <c r="C612" s="88"/>
      <c r="O612" s="89"/>
    </row>
    <row r="613" spans="3:15" ht="12.75" customHeight="1">
      <c r="C613" s="88"/>
      <c r="O613" s="89"/>
    </row>
    <row r="614" spans="3:15" ht="12.75" customHeight="1">
      <c r="C614" s="88"/>
      <c r="O614" s="89"/>
    </row>
    <row r="615" spans="3:15" ht="12.75" customHeight="1">
      <c r="C615" s="88"/>
      <c r="O615" s="89"/>
    </row>
    <row r="616" spans="3:15" ht="12.75" customHeight="1">
      <c r="C616" s="88"/>
      <c r="O616" s="89"/>
    </row>
    <row r="617" spans="3:15" ht="12.75" customHeight="1">
      <c r="C617" s="88"/>
      <c r="O617" s="89"/>
    </row>
    <row r="618" spans="3:15" ht="12.75" customHeight="1">
      <c r="C618" s="88"/>
      <c r="O618" s="89"/>
    </row>
    <row r="619" spans="3:15" ht="12.75" customHeight="1">
      <c r="C619" s="88"/>
      <c r="O619" s="89"/>
    </row>
    <row r="620" spans="3:15" ht="12.75" customHeight="1">
      <c r="C620" s="88"/>
      <c r="O620" s="89"/>
    </row>
    <row r="621" spans="3:15" ht="12.75" customHeight="1">
      <c r="C621" s="88"/>
      <c r="O621" s="89"/>
    </row>
    <row r="622" spans="3:15" ht="12.75" customHeight="1">
      <c r="C622" s="88"/>
      <c r="O622" s="89"/>
    </row>
    <row r="623" spans="3:15" ht="12.75" customHeight="1">
      <c r="C623" s="88"/>
      <c r="O623" s="89"/>
    </row>
    <row r="624" spans="3:15" ht="12.75" customHeight="1">
      <c r="C624" s="88"/>
      <c r="O624" s="89"/>
    </row>
    <row r="625" spans="3:15" ht="12.75" customHeight="1">
      <c r="C625" s="88"/>
      <c r="O625" s="89"/>
    </row>
    <row r="626" spans="3:15" ht="12.75" customHeight="1">
      <c r="C626" s="88"/>
      <c r="O626" s="89"/>
    </row>
    <row r="627" spans="3:15" ht="12.75" customHeight="1">
      <c r="C627" s="88"/>
      <c r="O627" s="89"/>
    </row>
    <row r="628" spans="3:15" ht="12.75" customHeight="1">
      <c r="C628" s="88"/>
      <c r="O628" s="89"/>
    </row>
    <row r="629" spans="3:15" ht="12.75" customHeight="1">
      <c r="C629" s="88"/>
      <c r="O629" s="89"/>
    </row>
    <row r="630" spans="3:15" ht="12.75" customHeight="1">
      <c r="C630" s="88"/>
      <c r="O630" s="89"/>
    </row>
    <row r="631" spans="3:15" ht="12.75" customHeight="1">
      <c r="C631" s="88"/>
      <c r="O631" s="89"/>
    </row>
    <row r="632" spans="3:15" ht="12.75" customHeight="1">
      <c r="C632" s="88"/>
      <c r="O632" s="89"/>
    </row>
    <row r="633" spans="3:15" ht="12.75" customHeight="1">
      <c r="C633" s="88"/>
      <c r="O633" s="89"/>
    </row>
    <row r="634" spans="3:15" ht="12.75" customHeight="1">
      <c r="C634" s="88"/>
      <c r="O634" s="89"/>
    </row>
    <row r="635" spans="3:15" ht="12.75" customHeight="1">
      <c r="C635" s="88"/>
      <c r="O635" s="89"/>
    </row>
    <row r="636" spans="3:15" ht="12.75" customHeight="1">
      <c r="C636" s="88"/>
      <c r="O636" s="89"/>
    </row>
    <row r="637" spans="3:15" ht="12.75" customHeight="1">
      <c r="C637" s="88"/>
      <c r="O637" s="89"/>
    </row>
    <row r="638" spans="3:15" ht="12.75" customHeight="1">
      <c r="C638" s="88"/>
      <c r="O638" s="89"/>
    </row>
    <row r="639" spans="3:15" ht="12.75" customHeight="1">
      <c r="C639" s="88"/>
      <c r="O639" s="89"/>
    </row>
    <row r="640" spans="3:15" ht="12.75" customHeight="1">
      <c r="C640" s="88"/>
      <c r="O640" s="89"/>
    </row>
    <row r="641" spans="3:15" ht="12.75" customHeight="1">
      <c r="C641" s="88"/>
      <c r="O641" s="89"/>
    </row>
    <row r="642" spans="3:15" ht="12.75" customHeight="1">
      <c r="C642" s="88"/>
      <c r="O642" s="89"/>
    </row>
    <row r="643" spans="3:15" ht="12.75" customHeight="1">
      <c r="C643" s="88"/>
      <c r="O643" s="89"/>
    </row>
    <row r="644" spans="3:15" ht="12.75" customHeight="1">
      <c r="C644" s="88"/>
      <c r="O644" s="89"/>
    </row>
    <row r="645" spans="3:15" ht="12.75" customHeight="1">
      <c r="C645" s="88"/>
      <c r="O645" s="89"/>
    </row>
    <row r="646" spans="3:15" ht="12.75" customHeight="1">
      <c r="C646" s="88"/>
      <c r="O646" s="89"/>
    </row>
    <row r="647" spans="3:15" ht="12.75" customHeight="1">
      <c r="C647" s="88"/>
      <c r="O647" s="89"/>
    </row>
    <row r="648" spans="3:15" ht="12.75" customHeight="1">
      <c r="C648" s="88"/>
      <c r="O648" s="89"/>
    </row>
    <row r="649" spans="3:15" ht="12.75" customHeight="1">
      <c r="C649" s="88"/>
      <c r="O649" s="89"/>
    </row>
    <row r="650" spans="3:15" ht="12.75" customHeight="1">
      <c r="C650" s="88"/>
      <c r="O650" s="89"/>
    </row>
    <row r="651" spans="3:15" ht="12.75" customHeight="1">
      <c r="C651" s="88"/>
      <c r="O651" s="89"/>
    </row>
    <row r="652" spans="3:15" ht="12.75" customHeight="1">
      <c r="C652" s="88"/>
      <c r="O652" s="89"/>
    </row>
    <row r="653" spans="3:15" ht="12.75" customHeight="1">
      <c r="C653" s="88"/>
      <c r="O653" s="89"/>
    </row>
    <row r="654" spans="3:15" ht="12.75" customHeight="1">
      <c r="C654" s="88"/>
      <c r="O654" s="89"/>
    </row>
    <row r="655" spans="3:15" ht="12.75" customHeight="1">
      <c r="C655" s="88"/>
      <c r="O655" s="89"/>
    </row>
    <row r="656" spans="3:15" ht="12.75" customHeight="1">
      <c r="C656" s="88"/>
      <c r="O656" s="89"/>
    </row>
    <row r="657" spans="3:15" ht="12.75" customHeight="1">
      <c r="C657" s="88"/>
      <c r="O657" s="89"/>
    </row>
    <row r="658" spans="3:15" ht="12.75" customHeight="1">
      <c r="C658" s="88"/>
      <c r="O658" s="89"/>
    </row>
    <row r="659" spans="3:15" ht="12.75" customHeight="1">
      <c r="C659" s="88"/>
      <c r="O659" s="89"/>
    </row>
    <row r="660" spans="3:15" ht="12.75" customHeight="1">
      <c r="C660" s="88"/>
      <c r="O660" s="89"/>
    </row>
    <row r="661" spans="3:15" ht="12.75" customHeight="1">
      <c r="C661" s="88"/>
      <c r="O661" s="89"/>
    </row>
    <row r="662" spans="3:15" ht="12.75" customHeight="1">
      <c r="C662" s="88"/>
      <c r="O662" s="89"/>
    </row>
    <row r="663" spans="3:15" ht="12.75" customHeight="1">
      <c r="C663" s="88"/>
      <c r="O663" s="89"/>
    </row>
    <row r="664" spans="3:15" ht="12.75" customHeight="1">
      <c r="C664" s="88"/>
      <c r="O664" s="89"/>
    </row>
    <row r="665" spans="3:15" ht="12.75" customHeight="1">
      <c r="C665" s="88"/>
      <c r="O665" s="89"/>
    </row>
    <row r="666" spans="3:15" ht="12.75" customHeight="1">
      <c r="C666" s="88"/>
      <c r="O666" s="89"/>
    </row>
    <row r="667" spans="3:15" ht="12.75" customHeight="1">
      <c r="C667" s="88"/>
      <c r="O667" s="89"/>
    </row>
    <row r="668" spans="3:15" ht="12.75" customHeight="1">
      <c r="C668" s="88"/>
      <c r="O668" s="89"/>
    </row>
    <row r="669" spans="3:15" ht="12.75" customHeight="1">
      <c r="C669" s="88"/>
      <c r="O669" s="89"/>
    </row>
    <row r="670" spans="3:15" ht="12.75" customHeight="1">
      <c r="C670" s="88"/>
      <c r="O670" s="89"/>
    </row>
    <row r="671" spans="3:15" ht="12.75" customHeight="1">
      <c r="C671" s="88"/>
      <c r="O671" s="89"/>
    </row>
    <row r="672" spans="3:15" ht="12.75" customHeight="1">
      <c r="C672" s="88"/>
      <c r="O672" s="89"/>
    </row>
    <row r="673" spans="3:15" ht="12.75" customHeight="1">
      <c r="C673" s="88"/>
      <c r="O673" s="89"/>
    </row>
    <row r="674" spans="3:15" ht="12.75" customHeight="1">
      <c r="C674" s="88"/>
      <c r="O674" s="89"/>
    </row>
    <row r="675" spans="3:15" ht="12.75" customHeight="1">
      <c r="C675" s="88"/>
      <c r="O675" s="89"/>
    </row>
    <row r="676" spans="3:15" ht="12.75" customHeight="1">
      <c r="C676" s="88"/>
      <c r="O676" s="89"/>
    </row>
    <row r="677" spans="3:15" ht="12.75" customHeight="1">
      <c r="C677" s="88"/>
      <c r="O677" s="89"/>
    </row>
    <row r="678" spans="3:15" ht="12.75" customHeight="1">
      <c r="C678" s="88"/>
      <c r="O678" s="89"/>
    </row>
    <row r="679" spans="3:15" ht="12.75" customHeight="1">
      <c r="C679" s="88"/>
      <c r="O679" s="89"/>
    </row>
    <row r="680" spans="3:15" ht="12.75" customHeight="1">
      <c r="C680" s="88"/>
      <c r="O680" s="89"/>
    </row>
    <row r="681" spans="3:15" ht="12.75" customHeight="1">
      <c r="C681" s="88"/>
      <c r="O681" s="89"/>
    </row>
    <row r="682" spans="3:15" ht="12.75" customHeight="1">
      <c r="C682" s="88"/>
      <c r="O682" s="89"/>
    </row>
    <row r="683" spans="3:15" ht="12.75" customHeight="1">
      <c r="C683" s="88"/>
      <c r="O683" s="89"/>
    </row>
    <row r="684" spans="3:15" ht="12.75" customHeight="1">
      <c r="C684" s="88"/>
      <c r="O684" s="89"/>
    </row>
    <row r="685" spans="3:15" ht="12.75" customHeight="1">
      <c r="C685" s="88"/>
      <c r="O685" s="89"/>
    </row>
    <row r="686" spans="3:15" ht="12.75" customHeight="1">
      <c r="C686" s="88"/>
      <c r="O686" s="89"/>
    </row>
    <row r="687" spans="3:15" ht="12.75" customHeight="1">
      <c r="C687" s="88"/>
      <c r="O687" s="89"/>
    </row>
    <row r="688" spans="3:15" ht="12.75" customHeight="1">
      <c r="C688" s="88"/>
      <c r="O688" s="89"/>
    </row>
    <row r="689" spans="3:15" ht="12.75" customHeight="1">
      <c r="C689" s="88"/>
      <c r="O689" s="89"/>
    </row>
    <row r="690" spans="3:15" ht="12.75" customHeight="1">
      <c r="C690" s="88"/>
      <c r="O690" s="89"/>
    </row>
    <row r="691" spans="3:15" ht="12.75" customHeight="1">
      <c r="C691" s="88"/>
      <c r="O691" s="89"/>
    </row>
    <row r="692" spans="3:15" ht="12.75" customHeight="1">
      <c r="C692" s="88"/>
      <c r="O692" s="89"/>
    </row>
    <row r="693" spans="3:15" ht="12.75" customHeight="1">
      <c r="C693" s="88"/>
      <c r="O693" s="89"/>
    </row>
    <row r="694" spans="3:15" ht="12.75" customHeight="1">
      <c r="C694" s="88"/>
      <c r="O694" s="89"/>
    </row>
    <row r="695" spans="3:15" ht="12.75" customHeight="1">
      <c r="C695" s="88"/>
      <c r="O695" s="89"/>
    </row>
    <row r="696" spans="3:15" ht="12.75" customHeight="1">
      <c r="C696" s="88"/>
      <c r="O696" s="89"/>
    </row>
    <row r="697" spans="3:15" ht="12.75" customHeight="1">
      <c r="C697" s="88"/>
      <c r="O697" s="89"/>
    </row>
    <row r="698" spans="3:15" ht="12.75" customHeight="1">
      <c r="C698" s="88"/>
      <c r="O698" s="89"/>
    </row>
    <row r="699" spans="3:15" ht="12.75" customHeight="1">
      <c r="C699" s="88"/>
      <c r="O699" s="89"/>
    </row>
    <row r="700" spans="3:15" ht="12.75" customHeight="1">
      <c r="C700" s="88"/>
      <c r="O700" s="89"/>
    </row>
    <row r="701" spans="3:15" ht="12.75" customHeight="1">
      <c r="C701" s="88"/>
      <c r="O701" s="89"/>
    </row>
    <row r="702" spans="3:15" ht="12.75" customHeight="1">
      <c r="C702" s="88"/>
      <c r="O702" s="89"/>
    </row>
    <row r="703" spans="3:15" ht="12.75" customHeight="1">
      <c r="C703" s="88"/>
      <c r="O703" s="89"/>
    </row>
    <row r="704" spans="3:15" ht="12.75" customHeight="1">
      <c r="C704" s="88"/>
      <c r="O704" s="89"/>
    </row>
    <row r="705" spans="3:15" ht="12.75" customHeight="1">
      <c r="C705" s="88"/>
      <c r="O705" s="89"/>
    </row>
    <row r="706" spans="3:15" ht="12.75" customHeight="1">
      <c r="C706" s="88"/>
      <c r="O706" s="89"/>
    </row>
    <row r="707" spans="3:15" ht="12.75" customHeight="1">
      <c r="C707" s="88"/>
      <c r="O707" s="89"/>
    </row>
    <row r="708" spans="3:15" ht="12.75" customHeight="1">
      <c r="C708" s="88"/>
      <c r="O708" s="89"/>
    </row>
    <row r="709" spans="3:15" ht="12.75" customHeight="1">
      <c r="C709" s="88"/>
      <c r="O709" s="89"/>
    </row>
    <row r="710" spans="3:15" ht="12.75" customHeight="1">
      <c r="C710" s="88"/>
      <c r="O710" s="89"/>
    </row>
    <row r="711" spans="3:15" ht="12.75" customHeight="1">
      <c r="C711" s="88"/>
      <c r="O711" s="89"/>
    </row>
    <row r="712" spans="3:15" ht="12.75" customHeight="1">
      <c r="C712" s="88"/>
      <c r="O712" s="89"/>
    </row>
    <row r="713" spans="3:15" ht="12.75" customHeight="1">
      <c r="C713" s="88"/>
      <c r="O713" s="89"/>
    </row>
    <row r="714" spans="3:15" ht="12.75" customHeight="1">
      <c r="C714" s="88"/>
      <c r="O714" s="89"/>
    </row>
    <row r="715" spans="3:15" ht="12.75" customHeight="1">
      <c r="C715" s="88"/>
      <c r="O715" s="89"/>
    </row>
    <row r="716" spans="3:15" ht="12.75" customHeight="1">
      <c r="C716" s="88"/>
      <c r="O716" s="89"/>
    </row>
    <row r="717" spans="3:15" ht="12.75" customHeight="1">
      <c r="C717" s="88"/>
      <c r="O717" s="89"/>
    </row>
    <row r="718" spans="3:15" ht="12.75" customHeight="1">
      <c r="C718" s="88"/>
      <c r="O718" s="89"/>
    </row>
    <row r="719" spans="3:15" ht="12.75" customHeight="1">
      <c r="C719" s="88"/>
      <c r="O719" s="89"/>
    </row>
    <row r="720" spans="3:15" ht="12.75" customHeight="1">
      <c r="C720" s="88"/>
      <c r="O720" s="89"/>
    </row>
    <row r="721" spans="3:15" ht="12.75" customHeight="1">
      <c r="C721" s="88"/>
      <c r="O721" s="89"/>
    </row>
    <row r="722" spans="3:15" ht="12.75" customHeight="1">
      <c r="C722" s="88"/>
      <c r="O722" s="89"/>
    </row>
    <row r="723" spans="3:15" ht="12.75" customHeight="1">
      <c r="C723" s="88"/>
      <c r="O723" s="89"/>
    </row>
    <row r="724" spans="3:15" ht="12.75" customHeight="1">
      <c r="C724" s="88"/>
      <c r="O724" s="89"/>
    </row>
    <row r="725" spans="3:15" ht="12.75" customHeight="1">
      <c r="C725" s="88"/>
      <c r="O725" s="89"/>
    </row>
    <row r="726" spans="3:15" ht="12.75" customHeight="1">
      <c r="C726" s="88"/>
      <c r="O726" s="89"/>
    </row>
    <row r="727" spans="3:15" ht="12.75" customHeight="1">
      <c r="C727" s="88"/>
      <c r="O727" s="89"/>
    </row>
    <row r="728" spans="3:15" ht="12.75" customHeight="1">
      <c r="C728" s="88"/>
      <c r="O728" s="89"/>
    </row>
    <row r="729" spans="3:15" ht="12.75" customHeight="1">
      <c r="C729" s="88"/>
      <c r="O729" s="89"/>
    </row>
    <row r="730" spans="3:15" ht="12.75" customHeight="1">
      <c r="C730" s="88"/>
      <c r="O730" s="89"/>
    </row>
    <row r="731" spans="3:15" ht="12.75" customHeight="1">
      <c r="C731" s="88"/>
      <c r="O731" s="89"/>
    </row>
    <row r="732" spans="3:15" ht="12.75" customHeight="1">
      <c r="C732" s="88"/>
      <c r="O732" s="89"/>
    </row>
    <row r="733" spans="3:15" ht="12.75" customHeight="1">
      <c r="C733" s="88"/>
      <c r="O733" s="89"/>
    </row>
    <row r="734" spans="3:15" ht="12.75" customHeight="1">
      <c r="C734" s="88"/>
      <c r="O734" s="89"/>
    </row>
    <row r="735" spans="3:15" ht="12.75" customHeight="1">
      <c r="C735" s="88"/>
      <c r="O735" s="89"/>
    </row>
    <row r="736" spans="3:15" ht="12.75" customHeight="1">
      <c r="C736" s="88"/>
      <c r="O736" s="89"/>
    </row>
    <row r="737" spans="3:15" ht="12.75" customHeight="1">
      <c r="C737" s="88"/>
      <c r="O737" s="89"/>
    </row>
    <row r="738" spans="3:15" ht="12.75" customHeight="1">
      <c r="C738" s="88"/>
      <c r="O738" s="89"/>
    </row>
    <row r="739" spans="3:15" ht="12.75" customHeight="1">
      <c r="C739" s="88"/>
      <c r="O739" s="89"/>
    </row>
    <row r="740" spans="3:15" ht="12.75" customHeight="1">
      <c r="C740" s="88"/>
      <c r="O740" s="89"/>
    </row>
    <row r="741" spans="3:15" ht="12.75" customHeight="1">
      <c r="C741" s="88"/>
      <c r="O741" s="89"/>
    </row>
    <row r="742" spans="3:15" ht="12.75" customHeight="1">
      <c r="C742" s="88"/>
      <c r="O742" s="89"/>
    </row>
    <row r="743" spans="3:15" ht="12.75" customHeight="1">
      <c r="C743" s="88"/>
      <c r="O743" s="89"/>
    </row>
    <row r="744" spans="3:15" ht="12.75" customHeight="1">
      <c r="C744" s="88"/>
      <c r="O744" s="89"/>
    </row>
    <row r="745" spans="3:15" ht="12.75" customHeight="1">
      <c r="C745" s="88"/>
      <c r="O745" s="89"/>
    </row>
    <row r="746" spans="3:15" ht="12.75" customHeight="1">
      <c r="C746" s="88"/>
      <c r="O746" s="89"/>
    </row>
    <row r="747" spans="3:15" ht="12.75" customHeight="1">
      <c r="C747" s="88"/>
      <c r="O747" s="89"/>
    </row>
    <row r="748" spans="3:15" ht="12.75" customHeight="1">
      <c r="C748" s="88"/>
      <c r="O748" s="89"/>
    </row>
    <row r="749" spans="3:15" ht="12.75" customHeight="1">
      <c r="C749" s="88"/>
      <c r="O749" s="89"/>
    </row>
    <row r="750" spans="3:15" ht="12.75" customHeight="1">
      <c r="C750" s="88"/>
      <c r="O750" s="89"/>
    </row>
    <row r="751" spans="3:15" ht="12.75" customHeight="1">
      <c r="C751" s="88"/>
      <c r="O751" s="89"/>
    </row>
    <row r="752" spans="3:15" ht="12.75" customHeight="1">
      <c r="C752" s="88"/>
      <c r="O752" s="89"/>
    </row>
    <row r="753" spans="3:15" ht="12.75" customHeight="1">
      <c r="C753" s="88"/>
      <c r="O753" s="89"/>
    </row>
    <row r="754" spans="3:15" ht="12.75" customHeight="1">
      <c r="C754" s="88"/>
      <c r="O754" s="89"/>
    </row>
    <row r="755" spans="3:15" ht="12.75" customHeight="1">
      <c r="C755" s="88"/>
      <c r="O755" s="89"/>
    </row>
    <row r="756" spans="3:15" ht="12.75" customHeight="1">
      <c r="C756" s="88"/>
      <c r="O756" s="89"/>
    </row>
    <row r="757" spans="3:15" ht="12.75" customHeight="1">
      <c r="C757" s="88"/>
      <c r="O757" s="89"/>
    </row>
    <row r="758" spans="3:15" ht="12.75" customHeight="1">
      <c r="C758" s="88"/>
      <c r="O758" s="89"/>
    </row>
    <row r="759" spans="3:15" ht="12.75" customHeight="1">
      <c r="C759" s="88"/>
      <c r="O759" s="89"/>
    </row>
    <row r="760" spans="3:15" ht="12.75" customHeight="1">
      <c r="C760" s="88"/>
      <c r="O760" s="89"/>
    </row>
    <row r="761" spans="3:15" ht="12.75" customHeight="1">
      <c r="C761" s="88"/>
      <c r="O761" s="89"/>
    </row>
    <row r="762" spans="3:15" ht="12.75" customHeight="1">
      <c r="C762" s="88"/>
      <c r="O762" s="89"/>
    </row>
    <row r="763" spans="3:15" ht="12.75" customHeight="1">
      <c r="C763" s="88"/>
      <c r="O763" s="89"/>
    </row>
    <row r="764" spans="3:15" ht="12.75" customHeight="1">
      <c r="C764" s="88"/>
      <c r="O764" s="89"/>
    </row>
    <row r="765" spans="3:15" ht="12.75" customHeight="1">
      <c r="C765" s="88"/>
      <c r="O765" s="89"/>
    </row>
    <row r="766" spans="3:15" ht="12.75" customHeight="1">
      <c r="C766" s="88"/>
      <c r="O766" s="89"/>
    </row>
    <row r="767" spans="3:15" ht="12.75" customHeight="1">
      <c r="C767" s="88"/>
      <c r="O767" s="89"/>
    </row>
    <row r="768" spans="3:15" ht="12.75" customHeight="1">
      <c r="C768" s="88"/>
      <c r="O768" s="89"/>
    </row>
    <row r="769" spans="3:15" ht="12.75" customHeight="1">
      <c r="C769" s="88"/>
      <c r="O769" s="89"/>
    </row>
    <row r="770" spans="3:15" ht="12.75" customHeight="1">
      <c r="C770" s="88"/>
      <c r="O770" s="89"/>
    </row>
    <row r="771" spans="3:15" ht="12.75" customHeight="1">
      <c r="C771" s="88"/>
      <c r="O771" s="89"/>
    </row>
    <row r="772" spans="3:15" ht="12.75" customHeight="1">
      <c r="C772" s="88"/>
      <c r="O772" s="89"/>
    </row>
    <row r="773" spans="3:15" ht="12.75" customHeight="1">
      <c r="C773" s="88"/>
      <c r="O773" s="89"/>
    </row>
    <row r="774" spans="3:15" ht="12.75" customHeight="1">
      <c r="C774" s="88"/>
      <c r="O774" s="89"/>
    </row>
    <row r="775" spans="3:15" ht="12.75" customHeight="1">
      <c r="C775" s="88"/>
      <c r="O775" s="89"/>
    </row>
    <row r="776" spans="3:15" ht="12.75" customHeight="1">
      <c r="C776" s="88"/>
      <c r="O776" s="89"/>
    </row>
    <row r="777" spans="3:15" ht="12.75" customHeight="1">
      <c r="C777" s="88"/>
      <c r="O777" s="89"/>
    </row>
    <row r="778" spans="3:15" ht="12.75" customHeight="1">
      <c r="C778" s="88"/>
      <c r="O778" s="89"/>
    </row>
    <row r="779" spans="3:15" ht="12.75" customHeight="1">
      <c r="C779" s="88"/>
      <c r="O779" s="89"/>
    </row>
    <row r="780" spans="3:15" ht="12.75" customHeight="1">
      <c r="C780" s="88"/>
      <c r="O780" s="89"/>
    </row>
    <row r="781" spans="3:15" ht="12.75" customHeight="1">
      <c r="C781" s="88"/>
      <c r="O781" s="89"/>
    </row>
    <row r="782" spans="3:15" ht="12.75" customHeight="1">
      <c r="C782" s="88"/>
      <c r="O782" s="89"/>
    </row>
    <row r="783" spans="3:15" ht="12.75" customHeight="1">
      <c r="C783" s="88"/>
      <c r="O783" s="89"/>
    </row>
    <row r="784" spans="3:15" ht="12.75" customHeight="1">
      <c r="C784" s="88"/>
      <c r="O784" s="89"/>
    </row>
    <row r="785" spans="3:15" ht="12.75" customHeight="1">
      <c r="C785" s="88"/>
      <c r="O785" s="89"/>
    </row>
    <row r="786" spans="3:15" ht="12.75" customHeight="1">
      <c r="C786" s="88"/>
      <c r="O786" s="89"/>
    </row>
    <row r="787" spans="3:15" ht="12.75" customHeight="1">
      <c r="C787" s="88"/>
      <c r="O787" s="89"/>
    </row>
    <row r="788" spans="3:15" ht="12.75" customHeight="1">
      <c r="C788" s="88"/>
      <c r="O788" s="89"/>
    </row>
    <row r="789" spans="3:15" ht="12.75" customHeight="1">
      <c r="C789" s="88"/>
      <c r="O789" s="89"/>
    </row>
    <row r="790" spans="3:15" ht="12.75" customHeight="1">
      <c r="C790" s="88"/>
      <c r="O790" s="89"/>
    </row>
    <row r="791" spans="3:15" ht="12.75" customHeight="1">
      <c r="C791" s="88"/>
      <c r="O791" s="89"/>
    </row>
    <row r="792" spans="3:15" ht="12.75" customHeight="1">
      <c r="C792" s="88"/>
      <c r="O792" s="89"/>
    </row>
    <row r="793" spans="3:15" ht="12.75" customHeight="1">
      <c r="C793" s="88"/>
      <c r="O793" s="89"/>
    </row>
    <row r="794" spans="3:15" ht="12.75" customHeight="1">
      <c r="C794" s="88"/>
      <c r="O794" s="89"/>
    </row>
    <row r="795" spans="3:15" ht="12.75" customHeight="1">
      <c r="C795" s="88"/>
      <c r="O795" s="89"/>
    </row>
    <row r="796" spans="3:15" ht="12.75" customHeight="1">
      <c r="C796" s="88"/>
      <c r="O796" s="89"/>
    </row>
    <row r="797" spans="3:15" ht="12.75" customHeight="1">
      <c r="C797" s="88"/>
      <c r="O797" s="89"/>
    </row>
    <row r="798" spans="3:15" ht="12.75" customHeight="1">
      <c r="C798" s="88"/>
      <c r="O798" s="89"/>
    </row>
    <row r="799" spans="3:15" ht="12.75" customHeight="1">
      <c r="C799" s="88"/>
      <c r="O799" s="89"/>
    </row>
    <row r="800" spans="3:15" ht="12.75" customHeight="1">
      <c r="C800" s="88"/>
      <c r="O800" s="89"/>
    </row>
    <row r="801" spans="3:15" ht="12.75" customHeight="1">
      <c r="C801" s="88"/>
      <c r="O801" s="89"/>
    </row>
    <row r="802" spans="3:15" ht="12.75" customHeight="1">
      <c r="C802" s="88"/>
      <c r="O802" s="89"/>
    </row>
    <row r="803" spans="3:15" ht="12.75" customHeight="1">
      <c r="C803" s="88"/>
      <c r="O803" s="89"/>
    </row>
    <row r="804" spans="3:15" ht="12.75" customHeight="1">
      <c r="C804" s="88"/>
      <c r="O804" s="89"/>
    </row>
    <row r="805" spans="3:15" ht="12.75" customHeight="1">
      <c r="C805" s="88"/>
      <c r="O805" s="89"/>
    </row>
    <row r="806" spans="3:15" ht="12.75" customHeight="1">
      <c r="C806" s="88"/>
      <c r="O806" s="89"/>
    </row>
    <row r="807" spans="3:15" ht="12.75" customHeight="1">
      <c r="C807" s="88"/>
      <c r="O807" s="89"/>
    </row>
    <row r="808" spans="3:15" ht="12.75" customHeight="1">
      <c r="C808" s="88"/>
      <c r="O808" s="89"/>
    </row>
    <row r="809" spans="3:15" ht="12.75" customHeight="1">
      <c r="C809" s="88"/>
      <c r="O809" s="89"/>
    </row>
    <row r="810" spans="3:15" ht="12.75" customHeight="1">
      <c r="C810" s="88"/>
      <c r="O810" s="89"/>
    </row>
    <row r="811" spans="3:15" ht="12.75" customHeight="1">
      <c r="C811" s="88"/>
      <c r="O811" s="89"/>
    </row>
    <row r="812" spans="3:15" ht="12.75" customHeight="1">
      <c r="C812" s="88"/>
      <c r="O812" s="89"/>
    </row>
    <row r="813" spans="3:15" ht="12.75" customHeight="1">
      <c r="C813" s="88"/>
      <c r="O813" s="89"/>
    </row>
    <row r="814" spans="3:15" ht="12.75" customHeight="1">
      <c r="C814" s="88"/>
      <c r="O814" s="89"/>
    </row>
    <row r="815" spans="3:15" ht="12.75" customHeight="1">
      <c r="C815" s="88"/>
      <c r="O815" s="89"/>
    </row>
    <row r="816" spans="3:15" ht="12.75" customHeight="1">
      <c r="C816" s="88"/>
      <c r="O816" s="89"/>
    </row>
    <row r="817" spans="3:15" ht="12.75" customHeight="1">
      <c r="C817" s="88"/>
      <c r="O817" s="89"/>
    </row>
    <row r="818" spans="3:15" ht="12.75" customHeight="1">
      <c r="C818" s="88"/>
      <c r="O818" s="89"/>
    </row>
    <row r="819" spans="3:15" ht="12.75" customHeight="1">
      <c r="C819" s="88"/>
      <c r="O819" s="89"/>
    </row>
    <row r="820" spans="3:15" ht="12.75" customHeight="1">
      <c r="C820" s="88"/>
      <c r="O820" s="89"/>
    </row>
    <row r="821" spans="3:15" ht="12.75" customHeight="1">
      <c r="C821" s="88"/>
      <c r="O821" s="89"/>
    </row>
    <row r="822" spans="3:15" ht="12.75" customHeight="1">
      <c r="C822" s="88"/>
      <c r="O822" s="89"/>
    </row>
    <row r="823" spans="3:15" ht="12.75" customHeight="1">
      <c r="C823" s="88"/>
      <c r="O823" s="89"/>
    </row>
    <row r="824" spans="3:15" ht="12.75" customHeight="1">
      <c r="C824" s="88"/>
      <c r="O824" s="89"/>
    </row>
    <row r="825" spans="3:15" ht="12.75" customHeight="1">
      <c r="C825" s="88"/>
      <c r="O825" s="89"/>
    </row>
    <row r="826" spans="3:15" ht="12.75" customHeight="1">
      <c r="C826" s="88"/>
      <c r="O826" s="89"/>
    </row>
    <row r="827" spans="3:15" ht="12.75" customHeight="1">
      <c r="C827" s="88"/>
      <c r="O827" s="89"/>
    </row>
    <row r="828" spans="3:15" ht="12.75" customHeight="1">
      <c r="C828" s="88"/>
      <c r="O828" s="89"/>
    </row>
    <row r="829" spans="3:15" ht="12.75" customHeight="1">
      <c r="C829" s="88"/>
      <c r="O829" s="89"/>
    </row>
    <row r="830" spans="3:15" ht="12.75" customHeight="1">
      <c r="C830" s="88"/>
      <c r="O830" s="89"/>
    </row>
    <row r="831" spans="3:15" ht="12.75" customHeight="1">
      <c r="C831" s="88"/>
      <c r="O831" s="89"/>
    </row>
    <row r="832" spans="3:15" ht="12.75" customHeight="1">
      <c r="C832" s="88"/>
      <c r="O832" s="89"/>
    </row>
    <row r="833" spans="3:15" ht="12.75" customHeight="1">
      <c r="C833" s="88"/>
      <c r="O833" s="89"/>
    </row>
    <row r="834" spans="3:15" ht="12.75" customHeight="1">
      <c r="C834" s="88"/>
      <c r="O834" s="89"/>
    </row>
    <row r="835" spans="3:15" ht="12.75" customHeight="1">
      <c r="C835" s="88"/>
      <c r="O835" s="89"/>
    </row>
    <row r="836" spans="3:15" ht="12.75" customHeight="1">
      <c r="C836" s="88"/>
      <c r="O836" s="89"/>
    </row>
    <row r="837" spans="3:15" ht="12.75" customHeight="1">
      <c r="C837" s="88"/>
      <c r="O837" s="89"/>
    </row>
    <row r="838" spans="3:15" ht="12.75" customHeight="1">
      <c r="C838" s="88"/>
      <c r="O838" s="89"/>
    </row>
    <row r="839" spans="3:15" ht="12.75" customHeight="1">
      <c r="C839" s="88"/>
      <c r="O839" s="89"/>
    </row>
    <row r="840" spans="3:15" ht="12.75" customHeight="1">
      <c r="C840" s="88"/>
      <c r="O840" s="89"/>
    </row>
    <row r="841" spans="3:15" ht="12.75" customHeight="1">
      <c r="C841" s="88"/>
      <c r="O841" s="89"/>
    </row>
    <row r="842" spans="3:15" ht="12.75" customHeight="1">
      <c r="C842" s="88"/>
      <c r="O842" s="89"/>
    </row>
    <row r="843" spans="3:15" ht="12.75" customHeight="1">
      <c r="C843" s="88"/>
      <c r="O843" s="89"/>
    </row>
    <row r="844" spans="3:15" ht="12.75" customHeight="1">
      <c r="C844" s="88"/>
      <c r="O844" s="89"/>
    </row>
    <row r="845" spans="3:15" ht="12.75" customHeight="1">
      <c r="C845" s="88"/>
      <c r="O845" s="89"/>
    </row>
    <row r="846" spans="3:15" ht="12.75" customHeight="1">
      <c r="C846" s="88"/>
      <c r="O846" s="89"/>
    </row>
    <row r="847" spans="3:15" ht="12.75" customHeight="1">
      <c r="C847" s="88"/>
      <c r="O847" s="89"/>
    </row>
    <row r="848" spans="3:15" ht="12.75" customHeight="1">
      <c r="C848" s="88"/>
      <c r="O848" s="89"/>
    </row>
    <row r="849" spans="3:15" ht="12.75" customHeight="1">
      <c r="C849" s="88"/>
      <c r="O849" s="89"/>
    </row>
    <row r="850" spans="3:15" ht="12.75" customHeight="1">
      <c r="C850" s="88"/>
      <c r="O850" s="89"/>
    </row>
    <row r="851" spans="3:15" ht="12.75" customHeight="1">
      <c r="C851" s="88"/>
      <c r="O851" s="89"/>
    </row>
    <row r="852" spans="3:15" ht="12.75" customHeight="1">
      <c r="C852" s="88"/>
      <c r="O852" s="89"/>
    </row>
    <row r="853" spans="3:15" ht="12.75" customHeight="1">
      <c r="C853" s="88"/>
      <c r="O853" s="89"/>
    </row>
    <row r="854" spans="3:15" ht="12.75" customHeight="1">
      <c r="C854" s="88"/>
      <c r="O854" s="89"/>
    </row>
    <row r="855" spans="3:15" ht="12.75" customHeight="1">
      <c r="C855" s="88"/>
      <c r="O855" s="89"/>
    </row>
    <row r="856" spans="3:15" ht="12.75" customHeight="1">
      <c r="C856" s="88"/>
      <c r="O856" s="89"/>
    </row>
    <row r="857" spans="3:15" ht="12.75" customHeight="1">
      <c r="C857" s="88"/>
      <c r="O857" s="89"/>
    </row>
    <row r="858" spans="3:15" ht="12.75" customHeight="1">
      <c r="C858" s="88"/>
      <c r="O858" s="89"/>
    </row>
    <row r="859" spans="3:15" ht="12.75" customHeight="1">
      <c r="C859" s="88"/>
      <c r="O859" s="89"/>
    </row>
    <row r="860" spans="3:15" ht="12.75" customHeight="1">
      <c r="C860" s="88"/>
      <c r="O860" s="89"/>
    </row>
    <row r="861" spans="3:15" ht="12.75" customHeight="1">
      <c r="C861" s="88"/>
      <c r="O861" s="89"/>
    </row>
    <row r="862" spans="3:15" ht="12.75" customHeight="1">
      <c r="C862" s="88"/>
      <c r="O862" s="89"/>
    </row>
    <row r="863" spans="3:15" ht="12.75" customHeight="1">
      <c r="C863" s="88"/>
      <c r="O863" s="89"/>
    </row>
    <row r="864" spans="3:15" ht="12.75" customHeight="1">
      <c r="C864" s="88"/>
      <c r="O864" s="89"/>
    </row>
    <row r="865" spans="3:15" ht="12.75" customHeight="1">
      <c r="C865" s="88"/>
      <c r="O865" s="89"/>
    </row>
    <row r="866" spans="3:15" ht="12.75" customHeight="1">
      <c r="C866" s="88"/>
      <c r="O866" s="89"/>
    </row>
    <row r="867" spans="3:15" ht="12.75" customHeight="1">
      <c r="C867" s="88"/>
      <c r="O867" s="89"/>
    </row>
    <row r="868" spans="3:15" ht="12.75" customHeight="1">
      <c r="C868" s="88"/>
      <c r="O868" s="89"/>
    </row>
    <row r="869" spans="3:15" ht="12.75" customHeight="1">
      <c r="C869" s="88"/>
      <c r="O869" s="89"/>
    </row>
    <row r="870" spans="3:15" ht="12.75" customHeight="1">
      <c r="C870" s="88"/>
      <c r="O870" s="89"/>
    </row>
    <row r="871" spans="3:15" ht="12.75" customHeight="1">
      <c r="C871" s="88"/>
      <c r="O871" s="89"/>
    </row>
    <row r="872" spans="3:15" ht="12.75" customHeight="1">
      <c r="C872" s="88"/>
      <c r="O872" s="89"/>
    </row>
    <row r="873" spans="3:15" ht="12.75" customHeight="1">
      <c r="C873" s="88"/>
      <c r="O873" s="89"/>
    </row>
    <row r="874" spans="3:15" ht="12.75" customHeight="1">
      <c r="C874" s="88"/>
      <c r="O874" s="89"/>
    </row>
    <row r="875" spans="3:15" ht="12.75" customHeight="1">
      <c r="C875" s="88"/>
      <c r="O875" s="89"/>
    </row>
    <row r="876" spans="3:15" ht="12.75" customHeight="1">
      <c r="C876" s="88"/>
      <c r="O876" s="89"/>
    </row>
    <row r="877" spans="3:15" ht="12.75" customHeight="1">
      <c r="C877" s="88"/>
      <c r="O877" s="89"/>
    </row>
    <row r="878" spans="3:15" ht="12.75" customHeight="1">
      <c r="C878" s="88"/>
      <c r="O878" s="89"/>
    </row>
    <row r="879" spans="3:15" ht="12.75" customHeight="1">
      <c r="C879" s="88"/>
      <c r="O879" s="89"/>
    </row>
    <row r="880" spans="3:15" ht="12.75" customHeight="1">
      <c r="C880" s="88"/>
      <c r="O880" s="89"/>
    </row>
    <row r="881" spans="3:15" ht="12.75" customHeight="1">
      <c r="C881" s="88"/>
      <c r="O881" s="89"/>
    </row>
    <row r="882" spans="3:15" ht="12.75" customHeight="1">
      <c r="C882" s="88"/>
      <c r="O882" s="89"/>
    </row>
    <row r="883" spans="3:15" ht="12.75" customHeight="1">
      <c r="C883" s="88"/>
      <c r="O883" s="89"/>
    </row>
    <row r="884" spans="3:15" ht="12.75" customHeight="1">
      <c r="C884" s="88"/>
      <c r="O884" s="89"/>
    </row>
    <row r="885" spans="3:15" ht="12.75" customHeight="1">
      <c r="C885" s="88"/>
      <c r="O885" s="89"/>
    </row>
    <row r="886" spans="3:15" ht="12.75" customHeight="1">
      <c r="C886" s="88"/>
      <c r="O886" s="89"/>
    </row>
    <row r="887" spans="3:15" ht="12.75" customHeight="1">
      <c r="C887" s="88"/>
      <c r="O887" s="89"/>
    </row>
    <row r="888" spans="3:15" ht="12.75" customHeight="1">
      <c r="C888" s="88"/>
      <c r="O888" s="89"/>
    </row>
    <row r="889" spans="3:15" ht="12.75" customHeight="1">
      <c r="C889" s="88"/>
      <c r="O889" s="89"/>
    </row>
    <row r="890" spans="3:15" ht="12.75" customHeight="1">
      <c r="C890" s="88"/>
      <c r="O890" s="89"/>
    </row>
    <row r="891" spans="3:15" ht="12.75" customHeight="1">
      <c r="C891" s="88"/>
      <c r="O891" s="89"/>
    </row>
    <row r="892" spans="3:15" ht="12.75" customHeight="1">
      <c r="C892" s="88"/>
      <c r="O892" s="89"/>
    </row>
    <row r="893" spans="3:15" ht="12.75" customHeight="1">
      <c r="C893" s="88"/>
      <c r="O893" s="89"/>
    </row>
    <row r="894" spans="3:15" ht="12.75" customHeight="1">
      <c r="C894" s="88"/>
      <c r="O894" s="89"/>
    </row>
    <row r="895" spans="3:15" ht="12.75" customHeight="1">
      <c r="C895" s="88"/>
      <c r="O895" s="89"/>
    </row>
    <row r="896" spans="3:15" ht="12.75" customHeight="1">
      <c r="C896" s="88"/>
      <c r="O896" s="89"/>
    </row>
    <row r="897" spans="3:15" ht="12.75" customHeight="1">
      <c r="C897" s="88"/>
      <c r="O897" s="89"/>
    </row>
    <row r="898" spans="3:15" ht="12.75" customHeight="1">
      <c r="C898" s="88"/>
      <c r="O898" s="89"/>
    </row>
    <row r="899" spans="3:15" ht="12.75" customHeight="1">
      <c r="C899" s="88"/>
      <c r="O899" s="89"/>
    </row>
    <row r="900" spans="3:15" ht="12.75" customHeight="1">
      <c r="C900" s="88"/>
      <c r="O900" s="89"/>
    </row>
    <row r="901" spans="3:15" ht="12.75" customHeight="1">
      <c r="C901" s="88"/>
      <c r="O901" s="89"/>
    </row>
    <row r="902" spans="3:15" ht="12.75" customHeight="1">
      <c r="C902" s="88"/>
      <c r="O902" s="89"/>
    </row>
    <row r="903" spans="3:15" ht="12.75" customHeight="1">
      <c r="C903" s="88"/>
      <c r="O903" s="89"/>
    </row>
    <row r="904" spans="3:15" ht="12.75" customHeight="1">
      <c r="C904" s="88"/>
      <c r="O904" s="89"/>
    </row>
    <row r="905" spans="3:15" ht="12.75" customHeight="1">
      <c r="C905" s="88"/>
      <c r="O905" s="89"/>
    </row>
    <row r="906" spans="3:15" ht="12.75" customHeight="1">
      <c r="C906" s="88"/>
      <c r="O906" s="89"/>
    </row>
    <row r="907" spans="3:15" ht="12.75" customHeight="1">
      <c r="C907" s="88"/>
      <c r="O907" s="89"/>
    </row>
    <row r="908" spans="3:15" ht="12.75" customHeight="1">
      <c r="C908" s="88"/>
      <c r="O908" s="89"/>
    </row>
    <row r="909" spans="3:15" ht="12.75" customHeight="1">
      <c r="C909" s="88"/>
      <c r="O909" s="89"/>
    </row>
    <row r="910" spans="3:15" ht="12.75" customHeight="1">
      <c r="C910" s="88"/>
      <c r="O910" s="89"/>
    </row>
    <row r="911" spans="3:15" ht="12.75" customHeight="1">
      <c r="C911" s="88"/>
      <c r="O911" s="89"/>
    </row>
    <row r="912" spans="3:15" ht="12.75" customHeight="1">
      <c r="C912" s="88"/>
      <c r="O912" s="89"/>
    </row>
    <row r="913" spans="3:15" ht="12.75" customHeight="1">
      <c r="C913" s="88"/>
      <c r="O913" s="89"/>
    </row>
    <row r="914" spans="3:15" ht="12.75" customHeight="1">
      <c r="C914" s="88"/>
      <c r="O914" s="89"/>
    </row>
    <row r="915" spans="3:15" ht="12.75" customHeight="1">
      <c r="C915" s="88"/>
      <c r="O915" s="89"/>
    </row>
    <row r="916" spans="3:15" ht="12.75" customHeight="1">
      <c r="C916" s="88"/>
      <c r="O916" s="89"/>
    </row>
    <row r="917" spans="3:15" ht="12.75" customHeight="1">
      <c r="C917" s="88"/>
      <c r="O917" s="89"/>
    </row>
    <row r="918" spans="3:15" ht="12.75" customHeight="1">
      <c r="C918" s="88"/>
      <c r="O918" s="89"/>
    </row>
    <row r="919" spans="3:15" ht="12.75" customHeight="1">
      <c r="C919" s="88"/>
      <c r="O919" s="89"/>
    </row>
    <row r="920" spans="3:15" ht="12.75" customHeight="1">
      <c r="C920" s="88"/>
      <c r="O920" s="89"/>
    </row>
    <row r="921" spans="3:15" ht="12.75" customHeight="1">
      <c r="C921" s="88"/>
      <c r="O921" s="89"/>
    </row>
    <row r="922" spans="3:15" ht="12.75" customHeight="1">
      <c r="C922" s="88"/>
      <c r="O922" s="89"/>
    </row>
    <row r="923" spans="3:15" ht="12.75" customHeight="1">
      <c r="C923" s="88"/>
      <c r="O923" s="89"/>
    </row>
    <row r="924" spans="3:15" ht="12.75" customHeight="1">
      <c r="C924" s="88"/>
      <c r="O924" s="89"/>
    </row>
    <row r="925" spans="3:15" ht="12.75" customHeight="1">
      <c r="C925" s="88"/>
      <c r="O925" s="89"/>
    </row>
    <row r="926" spans="3:15" ht="12.75" customHeight="1">
      <c r="C926" s="88"/>
      <c r="O926" s="89"/>
    </row>
    <row r="927" spans="3:15" ht="12.75" customHeight="1">
      <c r="C927" s="88"/>
      <c r="O927" s="89"/>
    </row>
    <row r="928" spans="3:15" ht="12.75" customHeight="1">
      <c r="C928" s="88"/>
      <c r="O928" s="89"/>
    </row>
    <row r="929" spans="3:15" ht="12.75" customHeight="1">
      <c r="C929" s="88"/>
      <c r="O929" s="89"/>
    </row>
    <row r="930" spans="3:15" ht="12.75" customHeight="1">
      <c r="C930" s="88"/>
      <c r="O930" s="89"/>
    </row>
    <row r="931" spans="3:15" ht="12.75" customHeight="1">
      <c r="C931" s="88"/>
      <c r="O931" s="89"/>
    </row>
    <row r="932" spans="3:15" ht="12.75" customHeight="1">
      <c r="C932" s="88"/>
      <c r="O932" s="89"/>
    </row>
    <row r="933" spans="3:15" ht="12.75" customHeight="1">
      <c r="C933" s="88"/>
      <c r="O933" s="89"/>
    </row>
    <row r="934" spans="3:15" ht="12.75" customHeight="1">
      <c r="C934" s="88"/>
      <c r="O934" s="89"/>
    </row>
    <row r="935" spans="3:15" ht="12.75" customHeight="1">
      <c r="C935" s="88"/>
      <c r="O935" s="89"/>
    </row>
    <row r="936" spans="3:15" ht="12.75" customHeight="1">
      <c r="C936" s="88"/>
      <c r="O936" s="89"/>
    </row>
    <row r="937" spans="3:15" ht="12.75" customHeight="1">
      <c r="C937" s="88"/>
      <c r="O937" s="89"/>
    </row>
    <row r="938" spans="3:15" ht="12.75" customHeight="1">
      <c r="C938" s="88"/>
      <c r="O938" s="89"/>
    </row>
    <row r="939" spans="3:15" ht="12.75" customHeight="1">
      <c r="C939" s="88"/>
      <c r="O939" s="89"/>
    </row>
    <row r="940" spans="3:15" ht="12.75" customHeight="1">
      <c r="C940" s="88"/>
      <c r="O940" s="89"/>
    </row>
    <row r="941" spans="3:15" ht="12.75" customHeight="1">
      <c r="C941" s="88"/>
      <c r="O941" s="89"/>
    </row>
    <row r="942" spans="3:15" ht="12.75" customHeight="1">
      <c r="C942" s="88"/>
      <c r="O942" s="89"/>
    </row>
    <row r="943" spans="3:15" ht="12.75" customHeight="1">
      <c r="C943" s="88"/>
      <c r="O943" s="89"/>
    </row>
    <row r="944" spans="3:15" ht="12.75" customHeight="1">
      <c r="C944" s="88"/>
      <c r="O944" s="89"/>
    </row>
    <row r="945" spans="3:15" ht="12.75" customHeight="1">
      <c r="C945" s="88"/>
      <c r="O945" s="89"/>
    </row>
    <row r="946" spans="3:15" ht="12.75" customHeight="1">
      <c r="C946" s="88"/>
      <c r="O946" s="89"/>
    </row>
    <row r="947" spans="3:15" ht="12.75" customHeight="1">
      <c r="C947" s="88"/>
      <c r="O947" s="89"/>
    </row>
    <row r="948" spans="3:15" ht="12.75" customHeight="1">
      <c r="C948" s="88"/>
      <c r="O948" s="89"/>
    </row>
    <row r="949" spans="3:15" ht="12.75" customHeight="1">
      <c r="C949" s="88"/>
      <c r="O949" s="89"/>
    </row>
    <row r="950" spans="3:15" ht="12.75" customHeight="1">
      <c r="C950" s="88"/>
      <c r="O950" s="89"/>
    </row>
    <row r="951" spans="3:15" ht="12.75" customHeight="1">
      <c r="C951" s="88"/>
      <c r="O951" s="89"/>
    </row>
    <row r="952" spans="3:15" ht="12.75" customHeight="1">
      <c r="C952" s="88"/>
      <c r="O952" s="89"/>
    </row>
    <row r="953" spans="3:15" ht="12.75" customHeight="1">
      <c r="C953" s="88"/>
      <c r="O953" s="89"/>
    </row>
    <row r="954" spans="3:15" ht="12.75" customHeight="1">
      <c r="C954" s="88"/>
      <c r="O954" s="89"/>
    </row>
    <row r="955" spans="3:15" ht="12.75" customHeight="1">
      <c r="C955" s="88"/>
      <c r="O955" s="89"/>
    </row>
    <row r="956" spans="3:15" ht="12.75" customHeight="1">
      <c r="C956" s="88"/>
      <c r="O956" s="89"/>
    </row>
    <row r="957" spans="3:15" ht="12.75" customHeight="1">
      <c r="C957" s="88"/>
      <c r="O957" s="89"/>
    </row>
    <row r="958" spans="3:15" ht="12.75" customHeight="1">
      <c r="C958" s="88"/>
      <c r="O958" s="89"/>
    </row>
    <row r="959" spans="3:15" ht="12.75" customHeight="1">
      <c r="C959" s="88"/>
      <c r="O959" s="89"/>
    </row>
    <row r="960" spans="3:15" ht="12.75" customHeight="1">
      <c r="C960" s="88"/>
      <c r="O960" s="89"/>
    </row>
    <row r="961" spans="3:15" ht="12.75" customHeight="1">
      <c r="C961" s="88"/>
      <c r="O961" s="89"/>
    </row>
    <row r="962" spans="3:15" ht="12.75" customHeight="1">
      <c r="C962" s="88"/>
      <c r="O962" s="89"/>
    </row>
    <row r="963" spans="3:15" ht="12.75" customHeight="1">
      <c r="C963" s="88"/>
      <c r="O963" s="89"/>
    </row>
    <row r="964" spans="3:15" ht="12.75" customHeight="1">
      <c r="C964" s="88"/>
      <c r="O964" s="89"/>
    </row>
    <row r="965" spans="3:15" ht="12.75" customHeight="1">
      <c r="C965" s="88"/>
      <c r="O965" s="89"/>
    </row>
    <row r="966" spans="3:15" ht="12.75" customHeight="1">
      <c r="C966" s="88"/>
      <c r="O966" s="89"/>
    </row>
    <row r="967" spans="3:15" ht="12.75" customHeight="1">
      <c r="C967" s="88"/>
      <c r="O967" s="89"/>
    </row>
    <row r="968" spans="3:15" ht="12.75" customHeight="1">
      <c r="C968" s="88"/>
      <c r="O968" s="89"/>
    </row>
    <row r="969" spans="3:15" ht="12.75" customHeight="1">
      <c r="C969" s="88"/>
      <c r="O969" s="89"/>
    </row>
    <row r="970" spans="3:15" ht="12.75" customHeight="1">
      <c r="C970" s="88"/>
      <c r="O970" s="89"/>
    </row>
    <row r="971" spans="3:15" ht="12.75" customHeight="1">
      <c r="C971" s="88"/>
      <c r="O971" s="89"/>
    </row>
    <row r="972" spans="3:15" ht="12.75" customHeight="1">
      <c r="C972" s="88"/>
      <c r="O972" s="89"/>
    </row>
    <row r="973" spans="3:15" ht="12.75" customHeight="1">
      <c r="C973" s="88"/>
      <c r="O973" s="89"/>
    </row>
    <row r="974" spans="3:15" ht="12.75" customHeight="1">
      <c r="C974" s="88"/>
      <c r="O974" s="89"/>
    </row>
    <row r="975" spans="3:15" ht="12.75" customHeight="1">
      <c r="C975" s="88"/>
      <c r="O975" s="89"/>
    </row>
    <row r="976" spans="3:15" ht="12.75" customHeight="1">
      <c r="C976" s="88"/>
      <c r="O976" s="89"/>
    </row>
    <row r="977" spans="3:15" ht="12.75" customHeight="1">
      <c r="C977" s="88"/>
      <c r="O977" s="89"/>
    </row>
    <row r="978" spans="3:15" ht="12.75" customHeight="1">
      <c r="C978" s="88"/>
      <c r="O978" s="89"/>
    </row>
    <row r="979" spans="3:15" ht="12.75" customHeight="1">
      <c r="C979" s="88"/>
      <c r="O979" s="89"/>
    </row>
    <row r="980" spans="3:15" ht="12.75" customHeight="1">
      <c r="C980" s="88"/>
      <c r="O980" s="89"/>
    </row>
    <row r="981" spans="3:15" ht="12.75" customHeight="1">
      <c r="C981" s="88"/>
      <c r="O981" s="89"/>
    </row>
    <row r="982" spans="3:15" ht="12.75" customHeight="1">
      <c r="C982" s="88"/>
      <c r="O982" s="89"/>
    </row>
    <row r="983" spans="3:15" ht="12.75" customHeight="1">
      <c r="C983" s="88"/>
      <c r="O983" s="89"/>
    </row>
    <row r="984" spans="3:15" ht="12.75" customHeight="1">
      <c r="C984" s="88"/>
      <c r="O984" s="89"/>
    </row>
    <row r="985" spans="3:15" ht="12.75" customHeight="1">
      <c r="C985" s="88"/>
      <c r="O985" s="89"/>
    </row>
    <row r="986" spans="3:15" ht="12.75" customHeight="1">
      <c r="C986" s="88"/>
      <c r="O986" s="89"/>
    </row>
    <row r="987" spans="3:15" ht="12.75" customHeight="1">
      <c r="C987" s="88"/>
      <c r="O987" s="89"/>
    </row>
    <row r="988" spans="3:15" ht="12.75" customHeight="1">
      <c r="C988" s="88"/>
      <c r="O988" s="89"/>
    </row>
    <row r="989" spans="3:15" ht="12.75" customHeight="1">
      <c r="C989" s="88"/>
      <c r="O989" s="89"/>
    </row>
    <row r="990" spans="3:15" ht="12.75" customHeight="1">
      <c r="C990" s="88"/>
      <c r="O990" s="89"/>
    </row>
    <row r="991" spans="3:15" ht="12.75" customHeight="1">
      <c r="C991" s="88"/>
      <c r="O991" s="89"/>
    </row>
    <row r="992" spans="3:15" ht="12.75" customHeight="1">
      <c r="C992" s="88"/>
      <c r="O992" s="89"/>
    </row>
    <row r="993" spans="3:15" ht="12.75" customHeight="1">
      <c r="C993" s="88"/>
      <c r="O993" s="89"/>
    </row>
    <row r="994" spans="3:15" ht="12.75" customHeight="1">
      <c r="C994" s="88"/>
      <c r="O994" s="89"/>
    </row>
    <row r="995" spans="3:15" ht="12.75" customHeight="1">
      <c r="C995" s="88"/>
      <c r="O995" s="89"/>
    </row>
    <row r="996" spans="3:15" ht="12.75" customHeight="1">
      <c r="C996" s="88"/>
      <c r="O996" s="89"/>
    </row>
    <row r="997" spans="3:15" ht="12.75" customHeight="1">
      <c r="C997" s="88"/>
      <c r="O997" s="89"/>
    </row>
    <row r="998" spans="3:15" ht="12.75" customHeight="1">
      <c r="C998" s="88"/>
      <c r="O998" s="89"/>
    </row>
    <row r="999" spans="3:15" ht="12.75" customHeight="1">
      <c r="C999" s="88"/>
      <c r="O999" s="89"/>
    </row>
    <row r="1000" spans="3:15" ht="12.75" customHeight="1">
      <c r="C1000" s="88"/>
      <c r="O1000" s="89"/>
    </row>
    <row r="1001" spans="3:15" ht="15" customHeight="1">
      <c r="C1001" s="88"/>
    </row>
  </sheetData>
  <mergeCells count="73">
    <mergeCell ref="K254:M255"/>
    <mergeCell ref="K239:M240"/>
    <mergeCell ref="H237:K237"/>
    <mergeCell ref="O4:P4"/>
    <mergeCell ref="G4:K4"/>
    <mergeCell ref="H254:H255"/>
    <mergeCell ref="G254:G255"/>
    <mergeCell ref="I254:I255"/>
    <mergeCell ref="G124:I125"/>
    <mergeCell ref="K6:M7"/>
    <mergeCell ref="G6:I7"/>
    <mergeCell ref="G36:K36"/>
    <mergeCell ref="G169:K169"/>
    <mergeCell ref="G39:I40"/>
    <mergeCell ref="G224:I225"/>
    <mergeCell ref="E224:E225"/>
    <mergeCell ref="G171:I172"/>
    <mergeCell ref="E171:E172"/>
    <mergeCell ref="E124:E125"/>
    <mergeCell ref="K224:M225"/>
    <mergeCell ref="H222:K222"/>
    <mergeCell ref="I263:I264"/>
    <mergeCell ref="E343:E344"/>
    <mergeCell ref="E355:E356"/>
    <mergeCell ref="E328:E329"/>
    <mergeCell ref="E239:E240"/>
    <mergeCell ref="E254:E255"/>
    <mergeCell ref="E263:E264"/>
    <mergeCell ref="G239:I240"/>
    <mergeCell ref="A6:A7"/>
    <mergeCell ref="C6:C7"/>
    <mergeCell ref="A39:A40"/>
    <mergeCell ref="E39:E40"/>
    <mergeCell ref="C39:C40"/>
    <mergeCell ref="E6:E7"/>
    <mergeCell ref="A171:A172"/>
    <mergeCell ref="G75:I76"/>
    <mergeCell ref="C75:C76"/>
    <mergeCell ref="K39:M40"/>
    <mergeCell ref="E75:E76"/>
    <mergeCell ref="K75:M76"/>
    <mergeCell ref="A124:A125"/>
    <mergeCell ref="A75:A76"/>
    <mergeCell ref="K124:M125"/>
    <mergeCell ref="K171:M172"/>
    <mergeCell ref="G72:K72"/>
    <mergeCell ref="G122:K122"/>
    <mergeCell ref="R4:V4"/>
    <mergeCell ref="R6:T7"/>
    <mergeCell ref="V6:X7"/>
    <mergeCell ref="R36:V36"/>
    <mergeCell ref="R39:T40"/>
    <mergeCell ref="V39:X40"/>
    <mergeCell ref="R72:V72"/>
    <mergeCell ref="R75:T76"/>
    <mergeCell ref="V75:X76"/>
    <mergeCell ref="R122:V122"/>
    <mergeCell ref="R124:T125"/>
    <mergeCell ref="V124:X125"/>
    <mergeCell ref="R169:V169"/>
    <mergeCell ref="R171:T172"/>
    <mergeCell ref="V171:X172"/>
    <mergeCell ref="S222:V222"/>
    <mergeCell ref="R224:T225"/>
    <mergeCell ref="V224:X225"/>
    <mergeCell ref="S237:V237"/>
    <mergeCell ref="R239:T240"/>
    <mergeCell ref="V239:X240"/>
    <mergeCell ref="T252:V252"/>
    <mergeCell ref="R254:R255"/>
    <mergeCell ref="S254:S255"/>
    <mergeCell ref="T254:T255"/>
    <mergeCell ref="V254:X255"/>
  </mergeCells>
  <phoneticPr fontId="58" type="noConversion"/>
  <conditionalFormatting sqref="O12:O34">
    <cfRule type="expression" dxfId="1" priority="1">
      <formula>_xludf.if($O$12&lt;100%)</formula>
    </cfRule>
    <cfRule type="expression" dxfId="0" priority="2">
      <formula>_xludf.if($O$12&gt;100%)</formula>
    </cfRule>
  </conditionalFormatting>
  <pageMargins left="0.70866141732283472" right="0.70866141732283472" top="0.74803149606299213" bottom="0.74803149606299213" header="0" footer="0"/>
  <pageSetup paperSize="9" scale="80" orientation="landscape" r:id="rId1"/>
  <rowBreaks count="6" manualBreakCount="6">
    <brk id="34" min="2" max="19" man="1"/>
    <brk id="70" min="2" max="19" man="1"/>
    <brk id="120" min="2" max="19" man="1"/>
    <brk id="166" min="2" max="19" man="1"/>
    <brk id="219" min="2" max="19" man="1"/>
    <brk id="249" min="2" max="19" man="1"/>
  </rowBreaks>
  <colBreaks count="1" manualBreakCount="1">
    <brk id="20" min="3" max="260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Hoja1!$B$2:$B$13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3"/>
  <sheetViews>
    <sheetView workbookViewId="0">
      <selection activeCell="F37" sqref="F37"/>
    </sheetView>
  </sheetViews>
  <sheetFormatPr baseColWidth="10" defaultRowHeight="12.75"/>
  <sheetData>
    <row r="2" spans="2:2">
      <c r="B2" t="s">
        <v>430</v>
      </c>
    </row>
    <row r="3" spans="2:2">
      <c r="B3" t="s">
        <v>431</v>
      </c>
    </row>
    <row r="4" spans="2:2">
      <c r="B4" t="s">
        <v>432</v>
      </c>
    </row>
    <row r="5" spans="2:2">
      <c r="B5" t="s">
        <v>433</v>
      </c>
    </row>
    <row r="6" spans="2:2">
      <c r="B6" t="s">
        <v>434</v>
      </c>
    </row>
    <row r="7" spans="2:2">
      <c r="B7" t="s">
        <v>435</v>
      </c>
    </row>
    <row r="8" spans="2:2">
      <c r="B8" t="s">
        <v>436</v>
      </c>
    </row>
    <row r="9" spans="2:2">
      <c r="B9" t="s">
        <v>437</v>
      </c>
    </row>
    <row r="10" spans="2:2">
      <c r="B10" t="s">
        <v>438</v>
      </c>
    </row>
    <row r="11" spans="2:2">
      <c r="B11" t="s">
        <v>439</v>
      </c>
    </row>
    <row r="12" spans="2:2">
      <c r="B12" t="s">
        <v>440</v>
      </c>
    </row>
    <row r="13" spans="2:2">
      <c r="B13" t="s">
        <v>441</v>
      </c>
    </row>
  </sheetData>
  <phoneticPr fontId="6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E1000"/>
  <sheetViews>
    <sheetView showGridLines="0" topLeftCell="B51" zoomScale="158" zoomScaleNormal="244" zoomScalePageLayoutView="244" workbookViewId="0">
      <selection activeCell="W189" sqref="W189"/>
    </sheetView>
  </sheetViews>
  <sheetFormatPr baseColWidth="10" defaultColWidth="14.42578125" defaultRowHeight="15" customHeight="1"/>
  <cols>
    <col min="1" max="1" width="13.140625" hidden="1" customWidth="1"/>
    <col min="2" max="2" width="2.28515625" customWidth="1"/>
    <col min="3" max="3" width="11.28515625" customWidth="1"/>
    <col min="4" max="4" width="1.42578125" customWidth="1"/>
    <col min="5" max="5" width="50.7109375" customWidth="1"/>
    <col min="6" max="6" width="1.42578125" customWidth="1"/>
    <col min="7" max="7" width="15" hidden="1" customWidth="1"/>
    <col min="8" max="8" width="15.28515625" hidden="1" customWidth="1"/>
    <col min="9" max="9" width="15.140625" hidden="1" customWidth="1"/>
    <col min="10" max="10" width="1.28515625" hidden="1" customWidth="1"/>
    <col min="11" max="11" width="15.7109375" hidden="1" customWidth="1"/>
    <col min="12" max="12" width="12.42578125" hidden="1" customWidth="1"/>
    <col min="13" max="13" width="15.140625" hidden="1" customWidth="1"/>
    <col min="14" max="14" width="1.42578125" hidden="1" customWidth="1"/>
    <col min="15" max="15" width="21" hidden="1" customWidth="1"/>
    <col min="16" max="17" width="1.28515625" hidden="1" customWidth="1"/>
    <col min="18" max="18" width="14.140625" hidden="1" customWidth="1"/>
    <col min="19" max="19" width="14.42578125" hidden="1" customWidth="1"/>
    <col min="20" max="20" width="13.42578125" hidden="1" customWidth="1"/>
    <col min="21" max="21" width="18.42578125" hidden="1" customWidth="1"/>
    <col min="22" max="22" width="1.42578125" customWidth="1"/>
    <col min="23" max="23" width="22.85546875" style="301" customWidth="1"/>
    <col min="24" max="24" width="23.140625" customWidth="1"/>
    <col min="25" max="25" width="16.7109375" customWidth="1"/>
    <col min="26" max="26" width="23" customWidth="1"/>
    <col min="27" max="31" width="11.42578125" customWidth="1"/>
  </cols>
  <sheetData>
    <row r="1" spans="1:31" ht="12.75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3"/>
      <c r="P1" s="1"/>
      <c r="Q1" s="1"/>
      <c r="R1" s="1"/>
      <c r="S1" s="1"/>
      <c r="T1" s="1"/>
      <c r="U1" s="1"/>
      <c r="V1" s="1"/>
      <c r="W1" s="290"/>
      <c r="X1" s="1"/>
      <c r="Y1" s="1"/>
      <c r="Z1" s="1"/>
      <c r="AA1" s="1"/>
      <c r="AB1" s="1"/>
      <c r="AC1" s="1"/>
      <c r="AD1" s="1"/>
      <c r="AE1" s="1"/>
    </row>
    <row r="2" spans="1:31" ht="18.75">
      <c r="A2" s="1"/>
      <c r="B2" s="1"/>
      <c r="C2" s="2"/>
      <c r="D2" s="1"/>
      <c r="E2" s="1"/>
      <c r="F2" s="1"/>
      <c r="G2" s="1"/>
      <c r="H2" s="1"/>
      <c r="I2" s="4"/>
      <c r="J2" s="1"/>
      <c r="K2" s="4"/>
      <c r="L2" s="5"/>
      <c r="M2" s="4"/>
      <c r="N2" s="1"/>
      <c r="O2" s="6"/>
      <c r="P2" s="1"/>
      <c r="Q2" s="1"/>
      <c r="R2" s="4" t="s">
        <v>0</v>
      </c>
      <c r="S2" s="1"/>
      <c r="T2" s="1"/>
      <c r="U2" s="4" t="s">
        <v>0</v>
      </c>
      <c r="V2" s="1"/>
      <c r="W2" s="290"/>
      <c r="X2" s="1"/>
      <c r="Y2" s="1"/>
      <c r="Z2" s="1"/>
      <c r="AA2" s="1"/>
      <c r="AB2" s="1"/>
      <c r="AC2" s="1"/>
      <c r="AD2" s="1"/>
      <c r="AE2" s="1"/>
    </row>
    <row r="3" spans="1:31" ht="13.5" customHeight="1" thickBot="1">
      <c r="A3" s="7"/>
      <c r="B3" s="7"/>
      <c r="C3" s="8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9"/>
      <c r="P3" s="7"/>
      <c r="Q3" s="7"/>
      <c r="R3" s="7"/>
      <c r="S3" s="7"/>
      <c r="T3" s="7"/>
      <c r="U3" s="7"/>
      <c r="V3" s="7"/>
      <c r="W3" s="290"/>
      <c r="X3" s="7"/>
      <c r="Y3" s="7"/>
      <c r="Z3" s="7"/>
      <c r="AA3" s="7"/>
      <c r="AB3" s="7"/>
      <c r="AC3" s="7"/>
      <c r="AD3" s="1"/>
      <c r="AE3" s="1"/>
    </row>
    <row r="4" spans="1:31" ht="12.75" customHeight="1">
      <c r="A4" s="396" t="s">
        <v>1</v>
      </c>
      <c r="B4" s="10"/>
      <c r="C4" s="422" t="s">
        <v>2</v>
      </c>
      <c r="D4" s="11"/>
      <c r="E4" s="423" t="s">
        <v>3</v>
      </c>
      <c r="F4" s="11"/>
      <c r="G4" s="376" t="s">
        <v>233</v>
      </c>
      <c r="H4" s="377"/>
      <c r="I4" s="378"/>
      <c r="J4" s="11"/>
      <c r="K4" s="400" t="s">
        <v>234</v>
      </c>
      <c r="L4" s="377"/>
      <c r="M4" s="378"/>
      <c r="N4" s="11"/>
      <c r="O4" s="12" t="s">
        <v>5</v>
      </c>
      <c r="P4" s="11"/>
      <c r="Q4" s="11"/>
      <c r="R4" s="422"/>
      <c r="S4" s="421" t="s">
        <v>4</v>
      </c>
      <c r="T4" s="377"/>
      <c r="U4" s="378"/>
      <c r="V4" s="11"/>
      <c r="W4" s="296"/>
      <c r="Y4" s="7"/>
      <c r="Z4" s="7"/>
      <c r="AA4" s="7"/>
      <c r="AB4" s="14"/>
      <c r="AC4" s="14"/>
      <c r="AD4" s="15"/>
      <c r="AE4" s="15"/>
    </row>
    <row r="5" spans="1:31" ht="27.75" customHeight="1" thickBot="1">
      <c r="A5" s="397"/>
      <c r="B5" s="10"/>
      <c r="C5" s="410"/>
      <c r="D5" s="14"/>
      <c r="E5" s="424"/>
      <c r="F5" s="14"/>
      <c r="G5" s="379"/>
      <c r="H5" s="380"/>
      <c r="I5" s="381"/>
      <c r="J5" s="14"/>
      <c r="K5" s="379"/>
      <c r="L5" s="380"/>
      <c r="M5" s="381"/>
      <c r="N5" s="14"/>
      <c r="O5" s="17" t="s">
        <v>237</v>
      </c>
      <c r="P5" s="14"/>
      <c r="Q5" s="14"/>
      <c r="R5" s="410"/>
      <c r="S5" s="379"/>
      <c r="T5" s="380"/>
      <c r="U5" s="381"/>
      <c r="V5" s="14"/>
      <c r="W5" s="297"/>
      <c r="X5" s="14"/>
      <c r="Y5" s="7"/>
      <c r="Z5" s="7"/>
      <c r="AA5" s="7"/>
      <c r="AB5" s="14"/>
      <c r="AC5" s="14"/>
      <c r="AD5" s="15"/>
      <c r="AE5" s="15"/>
    </row>
    <row r="6" spans="1:31" ht="6" customHeight="1">
      <c r="A6" s="18"/>
      <c r="B6" s="18"/>
      <c r="C6" s="18"/>
      <c r="D6" s="7"/>
      <c r="E6" s="18"/>
      <c r="F6" s="7"/>
      <c r="G6" s="19"/>
      <c r="H6" s="19"/>
      <c r="I6" s="19"/>
      <c r="J6" s="7"/>
      <c r="K6" s="19"/>
      <c r="L6" s="19"/>
      <c r="M6" s="19"/>
      <c r="N6" s="7"/>
      <c r="O6" s="20"/>
      <c r="P6" s="7"/>
      <c r="Q6" s="7"/>
      <c r="R6" s="19"/>
      <c r="S6" s="19"/>
      <c r="T6" s="19"/>
      <c r="U6" s="19"/>
      <c r="V6" s="7"/>
      <c r="W6" s="290"/>
      <c r="X6" s="7"/>
      <c r="Y6" s="7"/>
      <c r="Z6" s="7"/>
      <c r="AA6" s="7"/>
      <c r="AB6" s="7"/>
      <c r="AC6" s="7"/>
      <c r="AD6" s="1"/>
      <c r="AE6" s="1"/>
    </row>
    <row r="7" spans="1:31" ht="13.5" customHeight="1" thickBot="1">
      <c r="A7" s="21"/>
      <c r="B7" s="21"/>
      <c r="C7" s="22"/>
      <c r="D7" s="21"/>
      <c r="E7" s="21"/>
      <c r="F7" s="21"/>
      <c r="G7" s="23" t="s">
        <v>6</v>
      </c>
      <c r="H7" s="23" t="s">
        <v>7</v>
      </c>
      <c r="I7" s="23" t="s">
        <v>8</v>
      </c>
      <c r="J7" s="21"/>
      <c r="K7" s="23" t="s">
        <v>6</v>
      </c>
      <c r="L7" s="23" t="s">
        <v>7</v>
      </c>
      <c r="M7" s="23" t="s">
        <v>8</v>
      </c>
      <c r="N7" s="21"/>
      <c r="O7" s="24"/>
      <c r="P7" s="21"/>
      <c r="Q7" s="21"/>
      <c r="R7" s="23" t="s">
        <v>8</v>
      </c>
      <c r="S7" s="23" t="s">
        <v>6</v>
      </c>
      <c r="T7" s="23" t="s">
        <v>7</v>
      </c>
      <c r="U7" s="23" t="s">
        <v>8</v>
      </c>
      <c r="V7" s="21"/>
      <c r="W7" s="275"/>
      <c r="X7" s="21"/>
      <c r="Y7" s="7"/>
      <c r="Z7" s="7"/>
      <c r="AA7" s="7"/>
      <c r="AB7" s="21"/>
      <c r="AC7" s="21"/>
      <c r="AD7" s="25"/>
      <c r="AE7" s="25"/>
    </row>
    <row r="8" spans="1:31" ht="17.25" customHeight="1" thickTop="1" thickBot="1">
      <c r="A8" s="26"/>
      <c r="B8" s="26"/>
      <c r="C8" s="27">
        <v>1</v>
      </c>
      <c r="D8" s="28"/>
      <c r="E8" s="29" t="s">
        <v>9</v>
      </c>
      <c r="F8" s="28"/>
      <c r="G8" s="30">
        <f t="shared" ref="G8:I8" si="0">SUM(G10,G22)</f>
        <v>68150</v>
      </c>
      <c r="H8" s="30">
        <f t="shared" si="0"/>
        <v>8050</v>
      </c>
      <c r="I8" s="30">
        <f t="shared" si="0"/>
        <v>76200</v>
      </c>
      <c r="J8" s="28"/>
      <c r="K8" s="31">
        <f t="shared" ref="K8:L8" si="1">SUM(K10,K22)</f>
        <v>52719.91</v>
      </c>
      <c r="L8" s="31">
        <f t="shared" si="1"/>
        <v>0</v>
      </c>
      <c r="M8" s="31">
        <f>K8+L8</f>
        <v>52719.91</v>
      </c>
      <c r="N8" s="28"/>
      <c r="O8" s="32">
        <f>M8/I8</f>
        <v>0.69186233595800528</v>
      </c>
      <c r="P8" s="28"/>
      <c r="Q8" s="28"/>
      <c r="R8" s="33">
        <f>I8-K8-L8</f>
        <v>23480.089999999997</v>
      </c>
      <c r="S8" s="34">
        <f t="shared" ref="S8:U8" si="2">SUM(S10,S22)</f>
        <v>85300</v>
      </c>
      <c r="T8" s="34">
        <f t="shared" si="2"/>
        <v>4000</v>
      </c>
      <c r="U8" s="33">
        <f t="shared" si="2"/>
        <v>89300</v>
      </c>
      <c r="V8" s="28"/>
      <c r="W8" s="298"/>
      <c r="X8" s="28"/>
      <c r="Y8" s="7"/>
      <c r="Z8" s="7"/>
      <c r="AA8" s="7"/>
      <c r="AB8" s="35"/>
      <c r="AC8" s="35"/>
      <c r="AD8" s="1"/>
      <c r="AE8" s="1"/>
    </row>
    <row r="9" spans="1:31" ht="12.75" customHeight="1" thickTop="1">
      <c r="A9" s="7"/>
      <c r="B9" s="7"/>
      <c r="C9" s="8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7"/>
      <c r="Q9" s="7"/>
      <c r="R9" s="7"/>
      <c r="S9" s="7"/>
      <c r="T9" s="7"/>
      <c r="U9" s="7"/>
      <c r="V9" s="7"/>
      <c r="W9" s="290"/>
      <c r="X9" s="7"/>
      <c r="Y9" s="7"/>
      <c r="Z9" s="7"/>
      <c r="AA9" s="7"/>
      <c r="AB9" s="7"/>
      <c r="AC9" s="7"/>
      <c r="AD9" s="1"/>
      <c r="AE9" s="1"/>
    </row>
    <row r="10" spans="1:31" ht="12.75" customHeight="1">
      <c r="A10" s="11"/>
      <c r="B10" s="11"/>
      <c r="C10" s="36">
        <v>13</v>
      </c>
      <c r="D10" s="14"/>
      <c r="E10" s="14" t="s">
        <v>10</v>
      </c>
      <c r="F10" s="14"/>
      <c r="G10" s="37">
        <f>SUM(G18,G15,G12)</f>
        <v>52200</v>
      </c>
      <c r="H10" s="37">
        <f>SUM(H18+H15+H12)</f>
        <v>6550</v>
      </c>
      <c r="I10" s="37">
        <f>SUM(G10:H10)</f>
        <v>58750</v>
      </c>
      <c r="J10" s="14"/>
      <c r="K10" s="38">
        <f t="shared" ref="K10:L10" si="3">SUM(K18,K15,K12)</f>
        <v>40499.43</v>
      </c>
      <c r="L10" s="38">
        <f t="shared" si="3"/>
        <v>0</v>
      </c>
      <c r="M10" s="38">
        <f>L10+K10</f>
        <v>40499.43</v>
      </c>
      <c r="N10" s="14"/>
      <c r="O10" s="39">
        <f>M10/I10</f>
        <v>0.68935199999999996</v>
      </c>
      <c r="P10" s="14"/>
      <c r="Q10" s="14"/>
      <c r="R10" s="40">
        <f>I10-K10-L10</f>
        <v>18250.57</v>
      </c>
      <c r="S10" s="41">
        <f>SUM(S18,S15,S12)</f>
        <v>64400</v>
      </c>
      <c r="T10" s="41">
        <f>SUM(T18+T15+T12)</f>
        <v>4000</v>
      </c>
      <c r="U10" s="41">
        <f>SUM(S10:T10)</f>
        <v>68400</v>
      </c>
      <c r="V10" s="14"/>
      <c r="W10" s="297"/>
      <c r="X10" s="14"/>
      <c r="Y10" s="7"/>
      <c r="Z10" s="7"/>
      <c r="AA10" s="7"/>
      <c r="AB10" s="14"/>
      <c r="AC10" s="14"/>
      <c r="AD10" s="1"/>
      <c r="AE10" s="1"/>
    </row>
    <row r="11" spans="1:31" ht="6" customHeight="1">
      <c r="A11" s="7"/>
      <c r="B11" s="7"/>
      <c r="C11" s="8"/>
      <c r="D11" s="7"/>
      <c r="E11" s="42"/>
      <c r="F11" s="7"/>
      <c r="G11" s="43"/>
      <c r="H11" s="43"/>
      <c r="I11" s="43"/>
      <c r="J11" s="7"/>
      <c r="K11" s="44"/>
      <c r="L11" s="44"/>
      <c r="M11" s="44"/>
      <c r="N11" s="7"/>
      <c r="O11" s="45"/>
      <c r="P11" s="7"/>
      <c r="Q11" s="7"/>
      <c r="R11" s="46"/>
      <c r="S11" s="47"/>
      <c r="T11" s="47"/>
      <c r="U11" s="47"/>
      <c r="V11" s="7"/>
      <c r="W11" s="290"/>
      <c r="X11" s="7"/>
      <c r="Y11" s="48"/>
      <c r="Z11" s="7"/>
      <c r="AA11" s="7"/>
      <c r="AB11" s="7"/>
      <c r="AC11" s="7"/>
      <c r="AD11" s="1"/>
      <c r="AE11" s="1"/>
    </row>
    <row r="12" spans="1:31" ht="11.25" customHeight="1">
      <c r="A12" s="49"/>
      <c r="B12" s="49"/>
      <c r="C12" s="22">
        <v>131</v>
      </c>
      <c r="D12" s="21"/>
      <c r="E12" s="50" t="s">
        <v>11</v>
      </c>
      <c r="F12" s="21"/>
      <c r="G12" s="51">
        <f t="shared" ref="G12:I12" si="4">SUM(G13)</f>
        <v>3600</v>
      </c>
      <c r="H12" s="51">
        <f t="shared" si="4"/>
        <v>0</v>
      </c>
      <c r="I12" s="51">
        <f t="shared" si="4"/>
        <v>3600</v>
      </c>
      <c r="J12" s="21"/>
      <c r="K12" s="52">
        <f t="shared" ref="K12:M12" si="5">K13</f>
        <v>2700</v>
      </c>
      <c r="L12" s="52">
        <f t="shared" si="5"/>
        <v>0</v>
      </c>
      <c r="M12" s="52">
        <f t="shared" si="5"/>
        <v>2700</v>
      </c>
      <c r="N12" s="21"/>
      <c r="O12" s="53">
        <f t="shared" ref="O12:O13" si="6">M12/I12</f>
        <v>0.75</v>
      </c>
      <c r="P12" s="21"/>
      <c r="Q12" s="21"/>
      <c r="R12" s="54">
        <f t="shared" ref="R12:R13" si="7">I12-M12</f>
        <v>900</v>
      </c>
      <c r="S12" s="55">
        <f t="shared" ref="S12:U12" si="8">SUM(S13)</f>
        <v>3600</v>
      </c>
      <c r="T12" s="55">
        <f t="shared" si="8"/>
        <v>0</v>
      </c>
      <c r="U12" s="55">
        <f t="shared" si="8"/>
        <v>3600</v>
      </c>
      <c r="V12" s="21"/>
      <c r="W12" s="275"/>
      <c r="X12" s="21"/>
      <c r="Y12" s="56"/>
      <c r="Z12" s="49"/>
      <c r="AA12" s="1"/>
      <c r="AB12" s="21"/>
      <c r="AC12" s="21"/>
      <c r="AD12" s="1"/>
      <c r="AE12" s="1"/>
    </row>
    <row r="13" spans="1:31" ht="11.25" customHeight="1">
      <c r="A13" s="49">
        <v>6400009</v>
      </c>
      <c r="B13" s="49"/>
      <c r="C13" s="22" t="s">
        <v>12</v>
      </c>
      <c r="D13" s="57"/>
      <c r="E13" s="21" t="s">
        <v>13</v>
      </c>
      <c r="F13" s="57"/>
      <c r="G13" s="58">
        <f>300*12</f>
        <v>3600</v>
      </c>
      <c r="H13" s="58">
        <v>0</v>
      </c>
      <c r="I13" s="58">
        <f>SUM(G13:H13)</f>
        <v>3600</v>
      </c>
      <c r="J13" s="57"/>
      <c r="K13" s="23">
        <v>2700</v>
      </c>
      <c r="L13" s="23">
        <v>0</v>
      </c>
      <c r="M13" s="23">
        <f>K13+L13</f>
        <v>2700</v>
      </c>
      <c r="N13" s="57"/>
      <c r="O13" s="59">
        <f t="shared" si="6"/>
        <v>0.75</v>
      </c>
      <c r="P13" s="57"/>
      <c r="Q13" s="57"/>
      <c r="R13" s="54">
        <f t="shared" si="7"/>
        <v>900</v>
      </c>
      <c r="S13" s="60">
        <f>300*12</f>
        <v>3600</v>
      </c>
      <c r="T13" s="60">
        <v>0</v>
      </c>
      <c r="U13" s="60">
        <f>SUM(S13:T13)</f>
        <v>3600</v>
      </c>
      <c r="V13" s="57"/>
      <c r="W13" s="275" t="s">
        <v>401</v>
      </c>
      <c r="X13" s="57"/>
      <c r="Y13" s="56"/>
      <c r="Z13" s="49"/>
      <c r="AA13" s="1"/>
      <c r="AB13" s="21"/>
      <c r="AC13" s="21"/>
      <c r="AD13" s="1"/>
      <c r="AE13" s="1"/>
    </row>
    <row r="14" spans="1:31" ht="11.25" customHeight="1">
      <c r="A14" s="49"/>
      <c r="B14" s="49"/>
      <c r="C14" s="22"/>
      <c r="D14" s="21"/>
      <c r="E14" s="21"/>
      <c r="F14" s="21"/>
      <c r="G14" s="58"/>
      <c r="H14" s="58"/>
      <c r="I14" s="58"/>
      <c r="J14" s="21"/>
      <c r="K14" s="23"/>
      <c r="L14" s="23"/>
      <c r="M14" s="23"/>
      <c r="N14" s="21"/>
      <c r="O14" s="59"/>
      <c r="P14" s="21"/>
      <c r="Q14" s="21"/>
      <c r="R14" s="61"/>
      <c r="S14" s="60"/>
      <c r="T14" s="60"/>
      <c r="U14" s="60"/>
      <c r="V14" s="21"/>
      <c r="W14" s="275"/>
      <c r="X14" s="21"/>
      <c r="Y14" s="56"/>
      <c r="Z14" s="49"/>
      <c r="AA14" s="1"/>
      <c r="AB14" s="21"/>
      <c r="AC14" s="21"/>
      <c r="AD14" s="1"/>
      <c r="AE14" s="1"/>
    </row>
    <row r="15" spans="1:31" ht="11.25" customHeight="1">
      <c r="A15" s="49"/>
      <c r="B15" s="49"/>
      <c r="C15" s="22">
        <v>134</v>
      </c>
      <c r="D15" s="1"/>
      <c r="E15" s="50" t="s">
        <v>14</v>
      </c>
      <c r="F15" s="1"/>
      <c r="G15" s="51">
        <f t="shared" ref="G15:H15" si="9">G16</f>
        <v>35500</v>
      </c>
      <c r="H15" s="51">
        <f t="shared" si="9"/>
        <v>0</v>
      </c>
      <c r="I15" s="51">
        <f>SUM(I16)</f>
        <v>35500</v>
      </c>
      <c r="J15" s="1"/>
      <c r="K15" s="52">
        <f t="shared" ref="K15:L15" si="10">SUM(K16)</f>
        <v>27630.06</v>
      </c>
      <c r="L15" s="52">
        <f t="shared" si="10"/>
        <v>0</v>
      </c>
      <c r="M15" s="52">
        <f t="shared" ref="M15:M16" si="11">L15+K15</f>
        <v>27630.06</v>
      </c>
      <c r="N15" s="1"/>
      <c r="O15" s="53">
        <f t="shared" ref="O15:O16" si="12">M15/I15</f>
        <v>0.77831154929577473</v>
      </c>
      <c r="P15" s="1"/>
      <c r="Q15" s="1"/>
      <c r="R15" s="54">
        <f t="shared" ref="R15:R16" si="13">I15-K15-L15</f>
        <v>7869.9399999999987</v>
      </c>
      <c r="S15" s="55">
        <f t="shared" ref="S15:T15" si="14">S16</f>
        <v>47700</v>
      </c>
      <c r="T15" s="55">
        <f t="shared" si="14"/>
        <v>0</v>
      </c>
      <c r="U15" s="55">
        <f>SUM(U16)</f>
        <v>47700</v>
      </c>
      <c r="V15" s="1"/>
      <c r="W15" s="290"/>
      <c r="X15" s="1"/>
      <c r="Y15" s="56"/>
      <c r="Z15" s="49"/>
      <c r="AA15" s="1"/>
      <c r="AB15" s="21"/>
      <c r="AC15" s="21"/>
      <c r="AD15" s="1"/>
      <c r="AE15" s="1"/>
    </row>
    <row r="16" spans="1:31" ht="11.25" customHeight="1">
      <c r="A16" s="49">
        <v>6400001</v>
      </c>
      <c r="B16" s="49"/>
      <c r="C16" s="22" t="s">
        <v>15</v>
      </c>
      <c r="D16" s="21"/>
      <c r="E16" s="21" t="s">
        <v>16</v>
      </c>
      <c r="F16" s="21"/>
      <c r="G16" s="58">
        <v>35500</v>
      </c>
      <c r="H16" s="58">
        <v>0</v>
      </c>
      <c r="I16" s="58">
        <f>SUM(G16:H16)</f>
        <v>35500</v>
      </c>
      <c r="J16" s="21"/>
      <c r="K16" s="23">
        <v>27630.06</v>
      </c>
      <c r="L16" s="23">
        <v>0</v>
      </c>
      <c r="M16" s="23">
        <f t="shared" si="11"/>
        <v>27630.06</v>
      </c>
      <c r="N16" s="21"/>
      <c r="O16" s="59">
        <f t="shared" si="12"/>
        <v>0.77831154929577473</v>
      </c>
      <c r="P16" s="21"/>
      <c r="Q16" s="21"/>
      <c r="R16" s="61">
        <f t="shared" si="13"/>
        <v>7869.9399999999987</v>
      </c>
      <c r="S16" s="60">
        <f>35500+8900+3300</f>
        <v>47700</v>
      </c>
      <c r="T16" s="60">
        <v>0</v>
      </c>
      <c r="U16" s="60">
        <f>SUM(S16:T16)</f>
        <v>47700</v>
      </c>
      <c r="V16" s="21"/>
      <c r="W16" s="275" t="s">
        <v>402</v>
      </c>
      <c r="X16" s="62"/>
      <c r="Y16" s="56"/>
      <c r="Z16" s="49"/>
      <c r="AA16" s="1"/>
      <c r="AB16" s="21"/>
      <c r="AC16" s="21"/>
      <c r="AD16" s="1"/>
      <c r="AE16" s="1"/>
    </row>
    <row r="17" spans="1:31" ht="11.25" customHeight="1">
      <c r="A17" s="49"/>
      <c r="B17" s="49"/>
      <c r="C17" s="22"/>
      <c r="D17" s="63"/>
      <c r="E17" s="21"/>
      <c r="F17" s="63"/>
      <c r="G17" s="58"/>
      <c r="H17" s="58"/>
      <c r="I17" s="58"/>
      <c r="J17" s="63"/>
      <c r="K17" s="23"/>
      <c r="L17" s="23"/>
      <c r="M17" s="23"/>
      <c r="N17" s="63"/>
      <c r="O17" s="59"/>
      <c r="P17" s="63"/>
      <c r="Q17" s="63"/>
      <c r="R17" s="61"/>
      <c r="S17" s="60"/>
      <c r="T17" s="60"/>
      <c r="U17" s="60"/>
      <c r="V17" s="63"/>
      <c r="W17" s="307" t="s">
        <v>405</v>
      </c>
      <c r="X17" s="64"/>
      <c r="Y17" s="56"/>
      <c r="Z17" s="49"/>
      <c r="AA17" s="1"/>
      <c r="AB17" s="21"/>
      <c r="AC17" s="21"/>
      <c r="AD17" s="1"/>
      <c r="AE17" s="1"/>
    </row>
    <row r="18" spans="1:31" ht="11.25" customHeight="1">
      <c r="A18" s="49"/>
      <c r="B18" s="49"/>
      <c r="C18" s="22">
        <v>135</v>
      </c>
      <c r="D18" s="21"/>
      <c r="E18" s="50" t="s">
        <v>17</v>
      </c>
      <c r="F18" s="21"/>
      <c r="G18" s="51">
        <f t="shared" ref="G18:I18" si="15">SUM(G19:G20)</f>
        <v>13100</v>
      </c>
      <c r="H18" s="51">
        <f t="shared" si="15"/>
        <v>6550</v>
      </c>
      <c r="I18" s="51">
        <f t="shared" si="15"/>
        <v>19650</v>
      </c>
      <c r="J18" s="21"/>
      <c r="K18" s="52">
        <f t="shared" ref="K18:L18" si="16">SUM(K19:K20)</f>
        <v>10169.370000000001</v>
      </c>
      <c r="L18" s="52">
        <f t="shared" si="16"/>
        <v>0</v>
      </c>
      <c r="M18" s="52">
        <f t="shared" ref="M18:M19" si="17">L18+K18</f>
        <v>10169.370000000001</v>
      </c>
      <c r="N18" s="21"/>
      <c r="O18" s="53">
        <f t="shared" ref="O18:O19" si="18">M18/I18</f>
        <v>0.51752519083969473</v>
      </c>
      <c r="P18" s="21"/>
      <c r="Q18" s="21"/>
      <c r="R18" s="54">
        <f t="shared" ref="R18:R19" si="19">I18-K18-L18</f>
        <v>9480.6299999999992</v>
      </c>
      <c r="S18" s="55">
        <f t="shared" ref="S18:U18" si="20">SUM(S19:S20)</f>
        <v>13100</v>
      </c>
      <c r="T18" s="55">
        <f t="shared" si="20"/>
        <v>4000</v>
      </c>
      <c r="U18" s="55">
        <f t="shared" si="20"/>
        <v>17100</v>
      </c>
      <c r="V18" s="21"/>
      <c r="W18" s="275"/>
      <c r="X18" s="21"/>
      <c r="Y18" s="56"/>
      <c r="Z18" s="49"/>
      <c r="AA18" s="1"/>
      <c r="AB18" s="21"/>
      <c r="AC18" s="21"/>
      <c r="AD18" s="1"/>
      <c r="AE18" s="1"/>
    </row>
    <row r="19" spans="1:31" ht="11.25" customHeight="1">
      <c r="A19" s="49">
        <v>6400002</v>
      </c>
      <c r="B19" s="49"/>
      <c r="C19" s="22" t="s">
        <v>18</v>
      </c>
      <c r="D19" s="21"/>
      <c r="E19" s="21" t="s">
        <v>19</v>
      </c>
      <c r="F19" s="21"/>
      <c r="G19" s="58">
        <v>13100</v>
      </c>
      <c r="H19" s="58">
        <v>6550</v>
      </c>
      <c r="I19" s="58">
        <f t="shared" ref="I19:I20" si="21">SUM(G19:H19)</f>
        <v>19650</v>
      </c>
      <c r="J19" s="21"/>
      <c r="K19" s="23">
        <v>10169.370000000001</v>
      </c>
      <c r="L19" s="23">
        <v>0</v>
      </c>
      <c r="M19" s="23">
        <f t="shared" si="17"/>
        <v>10169.370000000001</v>
      </c>
      <c r="N19" s="21"/>
      <c r="O19" s="59">
        <f t="shared" si="18"/>
        <v>0.51752519083969473</v>
      </c>
      <c r="P19" s="21"/>
      <c r="Q19" s="21"/>
      <c r="R19" s="61">
        <f t="shared" si="19"/>
        <v>9480.6299999999992</v>
      </c>
      <c r="S19" s="60">
        <v>13100</v>
      </c>
      <c r="T19" s="60">
        <v>4000</v>
      </c>
      <c r="U19" s="60">
        <f t="shared" ref="U19:U20" si="22">SUM(S19:T19)</f>
        <v>17100</v>
      </c>
      <c r="V19" s="21"/>
      <c r="W19" s="275" t="s">
        <v>403</v>
      </c>
      <c r="X19" s="21"/>
      <c r="Y19" s="56"/>
      <c r="Z19" s="49"/>
      <c r="AA19" s="1"/>
      <c r="AB19" s="21"/>
      <c r="AC19" s="21"/>
      <c r="AD19" s="1"/>
      <c r="AE19" s="1"/>
    </row>
    <row r="20" spans="1:31" ht="11.25" customHeight="1">
      <c r="A20" s="49"/>
      <c r="B20" s="49"/>
      <c r="C20" s="22" t="s">
        <v>20</v>
      </c>
      <c r="D20" s="21"/>
      <c r="E20" s="21" t="s">
        <v>21</v>
      </c>
      <c r="F20" s="21"/>
      <c r="G20" s="58">
        <v>0</v>
      </c>
      <c r="H20" s="58">
        <v>0</v>
      </c>
      <c r="I20" s="58">
        <f t="shared" si="21"/>
        <v>0</v>
      </c>
      <c r="J20" s="21"/>
      <c r="K20" s="23">
        <v>0</v>
      </c>
      <c r="L20" s="23">
        <v>0</v>
      </c>
      <c r="M20" s="23">
        <v>0</v>
      </c>
      <c r="N20" s="21"/>
      <c r="O20" s="59">
        <v>0</v>
      </c>
      <c r="P20" s="21"/>
      <c r="Q20" s="21"/>
      <c r="R20" s="61"/>
      <c r="S20" s="60">
        <v>0</v>
      </c>
      <c r="T20" s="60">
        <v>0</v>
      </c>
      <c r="U20" s="60">
        <f t="shared" si="22"/>
        <v>0</v>
      </c>
      <c r="V20" s="21"/>
      <c r="W20" s="307" t="s">
        <v>404</v>
      </c>
      <c r="X20" s="21"/>
      <c r="Y20" s="56"/>
      <c r="Z20" s="49"/>
      <c r="AA20" s="1"/>
      <c r="AB20" s="21"/>
      <c r="AC20" s="21"/>
      <c r="AD20" s="1"/>
      <c r="AE20" s="1"/>
    </row>
    <row r="21" spans="1:31" ht="11.25" customHeight="1">
      <c r="A21" s="49"/>
      <c r="B21" s="49"/>
      <c r="C21" s="22"/>
      <c r="D21" s="57"/>
      <c r="E21" s="21"/>
      <c r="F21" s="57"/>
      <c r="G21" s="58"/>
      <c r="H21" s="58"/>
      <c r="I21" s="58"/>
      <c r="J21" s="57"/>
      <c r="K21" s="23"/>
      <c r="L21" s="23"/>
      <c r="M21" s="23"/>
      <c r="N21" s="57"/>
      <c r="O21" s="59"/>
      <c r="P21" s="57"/>
      <c r="Q21" s="57"/>
      <c r="R21" s="61"/>
      <c r="S21" s="60"/>
      <c r="T21" s="60"/>
      <c r="U21" s="60"/>
      <c r="V21" s="57"/>
      <c r="W21" s="275"/>
      <c r="X21" s="57"/>
      <c r="Y21" s="56"/>
      <c r="Z21" s="49"/>
      <c r="AA21" s="1"/>
      <c r="AB21" s="21"/>
      <c r="AC21" s="21"/>
      <c r="AD21" s="1"/>
      <c r="AE21" s="1"/>
    </row>
    <row r="22" spans="1:31" ht="12.75" customHeight="1">
      <c r="A22" s="7"/>
      <c r="B22" s="7"/>
      <c r="C22" s="36">
        <v>16</v>
      </c>
      <c r="D22" s="7"/>
      <c r="E22" s="14" t="s">
        <v>22</v>
      </c>
      <c r="F22" s="7"/>
      <c r="G22" s="37">
        <f t="shared" ref="G22:I22" si="23">G24+G28</f>
        <v>15950</v>
      </c>
      <c r="H22" s="37">
        <f t="shared" si="23"/>
        <v>1500</v>
      </c>
      <c r="I22" s="37">
        <f t="shared" si="23"/>
        <v>17450</v>
      </c>
      <c r="J22" s="7"/>
      <c r="K22" s="38">
        <f t="shared" ref="K22:L22" si="24">K24+K28</f>
        <v>12220.480000000001</v>
      </c>
      <c r="L22" s="38">
        <f t="shared" si="24"/>
        <v>0</v>
      </c>
      <c r="M22" s="38">
        <f>L22+K22</f>
        <v>12220.480000000001</v>
      </c>
      <c r="N22" s="7"/>
      <c r="O22" s="39">
        <f>M22/I22</f>
        <v>0.70031404011461329</v>
      </c>
      <c r="P22" s="7"/>
      <c r="Q22" s="7"/>
      <c r="R22" s="40">
        <f>I22-K22-L22</f>
        <v>5229.5199999999986</v>
      </c>
      <c r="S22" s="41">
        <f t="shared" ref="S22:U22" si="25">S24+S28</f>
        <v>20900</v>
      </c>
      <c r="T22" s="41">
        <f t="shared" si="25"/>
        <v>0</v>
      </c>
      <c r="U22" s="41">
        <f t="shared" si="25"/>
        <v>20900</v>
      </c>
      <c r="V22" s="7"/>
      <c r="W22" s="290"/>
      <c r="X22" s="7"/>
      <c r="Y22" s="48"/>
      <c r="Z22" s="11"/>
      <c r="AA22" s="1"/>
      <c r="AB22" s="7"/>
      <c r="AC22" s="7"/>
      <c r="AD22" s="1"/>
      <c r="AE22" s="1"/>
    </row>
    <row r="23" spans="1:31" ht="6" customHeight="1">
      <c r="A23" s="49"/>
      <c r="B23" s="49"/>
      <c r="C23" s="22"/>
      <c r="D23" s="21"/>
      <c r="E23" s="21"/>
      <c r="F23" s="21"/>
      <c r="G23" s="58"/>
      <c r="H23" s="58"/>
      <c r="I23" s="58"/>
      <c r="J23" s="21"/>
      <c r="K23" s="23"/>
      <c r="L23" s="23"/>
      <c r="M23" s="23"/>
      <c r="N23" s="21"/>
      <c r="O23" s="59"/>
      <c r="P23" s="21"/>
      <c r="Q23" s="21"/>
      <c r="R23" s="61"/>
      <c r="S23" s="60"/>
      <c r="T23" s="60"/>
      <c r="U23" s="60"/>
      <c r="V23" s="21"/>
      <c r="W23" s="275"/>
      <c r="X23" s="21"/>
      <c r="Y23" s="56"/>
      <c r="Z23" s="49"/>
      <c r="AA23" s="1"/>
      <c r="AB23" s="21"/>
      <c r="AC23" s="21"/>
      <c r="AD23" s="1"/>
      <c r="AE23" s="1"/>
    </row>
    <row r="24" spans="1:31" ht="11.25" customHeight="1">
      <c r="A24" s="49"/>
      <c r="B24" s="49"/>
      <c r="C24" s="22">
        <v>160</v>
      </c>
      <c r="D24" s="57"/>
      <c r="E24" s="50" t="s">
        <v>23</v>
      </c>
      <c r="F24" s="57"/>
      <c r="G24" s="51">
        <f t="shared" ref="G24:H24" si="26">SUM(G25,G26)</f>
        <v>15500</v>
      </c>
      <c r="H24" s="51">
        <f t="shared" si="26"/>
        <v>1500</v>
      </c>
      <c r="I24" s="51">
        <f>SUM(I25:I26)</f>
        <v>17000</v>
      </c>
      <c r="J24" s="57"/>
      <c r="K24" s="52">
        <f t="shared" ref="K24:L26" si="27">SUM(K25:K26)</f>
        <v>12220.480000000001</v>
      </c>
      <c r="L24" s="52">
        <f t="shared" si="27"/>
        <v>0</v>
      </c>
      <c r="M24" s="52">
        <f t="shared" ref="M24:M26" si="28">L24+K24</f>
        <v>12220.480000000001</v>
      </c>
      <c r="N24" s="57"/>
      <c r="O24" s="53">
        <f t="shared" ref="O24:O26" si="29">M24/I24</f>
        <v>0.71885176470588241</v>
      </c>
      <c r="P24" s="57"/>
      <c r="Q24" s="57"/>
      <c r="R24" s="54">
        <f t="shared" ref="R24:R26" si="30">I24-K24-L24</f>
        <v>4779.5199999999986</v>
      </c>
      <c r="S24" s="55">
        <f t="shared" ref="S24:T24" si="31">SUM(S25,S26)</f>
        <v>20450</v>
      </c>
      <c r="T24" s="55">
        <f t="shared" si="31"/>
        <v>0</v>
      </c>
      <c r="U24" s="55">
        <f>SUM(U25:U26)</f>
        <v>20450</v>
      </c>
      <c r="V24" s="57"/>
      <c r="W24" s="275"/>
      <c r="X24" s="57"/>
      <c r="Y24" s="56"/>
      <c r="Z24" s="49"/>
      <c r="AA24" s="1"/>
      <c r="AB24" s="21"/>
      <c r="AC24" s="21"/>
      <c r="AD24" s="1"/>
      <c r="AE24" s="1"/>
    </row>
    <row r="25" spans="1:31" ht="11.25" customHeight="1">
      <c r="A25" s="49">
        <v>6420001</v>
      </c>
      <c r="B25" s="49"/>
      <c r="C25" s="22" t="s">
        <v>24</v>
      </c>
      <c r="D25" s="21"/>
      <c r="E25" s="21" t="s">
        <v>25</v>
      </c>
      <c r="F25" s="21"/>
      <c r="G25" s="58">
        <v>12000</v>
      </c>
      <c r="H25" s="58">
        <v>0</v>
      </c>
      <c r="I25" s="58">
        <f t="shared" ref="I25:I26" si="32">SUM(G25:H25)</f>
        <v>12000</v>
      </c>
      <c r="J25" s="21"/>
      <c r="K25" s="23">
        <v>8661.2000000000007</v>
      </c>
      <c r="L25" s="23">
        <f t="shared" si="27"/>
        <v>0</v>
      </c>
      <c r="M25" s="23">
        <f t="shared" si="28"/>
        <v>8661.2000000000007</v>
      </c>
      <c r="N25" s="21"/>
      <c r="O25" s="59">
        <f t="shared" si="29"/>
        <v>0.72176666666666678</v>
      </c>
      <c r="P25" s="21"/>
      <c r="Q25" s="21"/>
      <c r="R25" s="61">
        <f t="shared" si="30"/>
        <v>3338.7999999999993</v>
      </c>
      <c r="S25" s="60">
        <f>12000+3900+1050</f>
        <v>16950</v>
      </c>
      <c r="T25" s="60">
        <v>0</v>
      </c>
      <c r="U25" s="60">
        <f t="shared" ref="U25:U26" si="33">SUM(S25:T25)</f>
        <v>16950</v>
      </c>
      <c r="V25" s="21"/>
      <c r="W25" s="275" t="s">
        <v>406</v>
      </c>
      <c r="X25" s="62"/>
      <c r="Y25" s="56"/>
      <c r="Z25" s="49"/>
      <c r="AA25" s="1"/>
      <c r="AB25" s="21"/>
      <c r="AC25" s="21"/>
      <c r="AD25" s="1"/>
      <c r="AE25" s="1"/>
    </row>
    <row r="26" spans="1:31" ht="11.25" customHeight="1">
      <c r="A26" s="49">
        <v>6420002</v>
      </c>
      <c r="B26" s="49"/>
      <c r="C26" s="22" t="s">
        <v>26</v>
      </c>
      <c r="D26" s="21"/>
      <c r="E26" s="21" t="s">
        <v>27</v>
      </c>
      <c r="F26" s="21"/>
      <c r="G26" s="58">
        <v>3500</v>
      </c>
      <c r="H26" s="58">
        <v>1500</v>
      </c>
      <c r="I26" s="58">
        <f t="shared" si="32"/>
        <v>5000</v>
      </c>
      <c r="J26" s="21"/>
      <c r="K26" s="23">
        <v>3559.28</v>
      </c>
      <c r="L26" s="23">
        <f t="shared" si="27"/>
        <v>0</v>
      </c>
      <c r="M26" s="23">
        <f t="shared" si="28"/>
        <v>3559.28</v>
      </c>
      <c r="N26" s="21"/>
      <c r="O26" s="59">
        <f t="shared" si="29"/>
        <v>0.71185600000000004</v>
      </c>
      <c r="P26" s="21"/>
      <c r="Q26" s="21"/>
      <c r="R26" s="61">
        <f t="shared" si="30"/>
        <v>1440.7199999999998</v>
      </c>
      <c r="S26" s="60">
        <v>3500</v>
      </c>
      <c r="T26" s="60">
        <v>0</v>
      </c>
      <c r="U26" s="60">
        <f t="shared" si="33"/>
        <v>3500</v>
      </c>
      <c r="V26" s="21"/>
      <c r="W26" s="275" t="s">
        <v>407</v>
      </c>
      <c r="X26" s="21"/>
      <c r="Y26" s="56"/>
      <c r="Z26" s="49"/>
      <c r="AA26" s="1"/>
      <c r="AB26" s="21"/>
      <c r="AC26" s="21"/>
      <c r="AD26" s="1"/>
      <c r="AE26" s="1"/>
    </row>
    <row r="27" spans="1:31" ht="11.25" customHeight="1">
      <c r="A27" s="49"/>
      <c r="B27" s="49"/>
      <c r="C27" s="22"/>
      <c r="D27" s="21"/>
      <c r="E27" s="21"/>
      <c r="F27" s="21"/>
      <c r="G27" s="58"/>
      <c r="H27" s="58"/>
      <c r="I27" s="58"/>
      <c r="J27" s="21"/>
      <c r="K27" s="23"/>
      <c r="L27" s="23"/>
      <c r="M27" s="23"/>
      <c r="N27" s="21"/>
      <c r="O27" s="59"/>
      <c r="P27" s="21"/>
      <c r="Q27" s="21"/>
      <c r="R27" s="61"/>
      <c r="S27" s="60"/>
      <c r="T27" s="60"/>
      <c r="U27" s="60"/>
      <c r="V27" s="21"/>
      <c r="W27" s="275"/>
      <c r="X27" s="21"/>
      <c r="Y27" s="56"/>
      <c r="Z27" s="49"/>
      <c r="AA27" s="1"/>
      <c r="AB27" s="21"/>
      <c r="AC27" s="21"/>
      <c r="AD27" s="1"/>
      <c r="AE27" s="1"/>
    </row>
    <row r="28" spans="1:31" ht="11.25" customHeight="1">
      <c r="A28" s="49">
        <v>649</v>
      </c>
      <c r="B28" s="49"/>
      <c r="C28" s="22">
        <v>162</v>
      </c>
      <c r="D28" s="21"/>
      <c r="E28" s="21" t="s">
        <v>28</v>
      </c>
      <c r="F28" s="21"/>
      <c r="G28" s="51">
        <f t="shared" ref="G28:I28" si="34">SUM(G29:G32)</f>
        <v>450</v>
      </c>
      <c r="H28" s="51">
        <f t="shared" si="34"/>
        <v>0</v>
      </c>
      <c r="I28" s="51">
        <f t="shared" si="34"/>
        <v>450</v>
      </c>
      <c r="J28" s="21"/>
      <c r="K28" s="52">
        <f t="shared" ref="K28:L28" si="35">SUM(K29:K32)</f>
        <v>0</v>
      </c>
      <c r="L28" s="52">
        <f t="shared" si="35"/>
        <v>0</v>
      </c>
      <c r="M28" s="52">
        <f>L28+K28</f>
        <v>0</v>
      </c>
      <c r="N28" s="21"/>
      <c r="O28" s="53">
        <f>M28/I28</f>
        <v>0</v>
      </c>
      <c r="P28" s="21"/>
      <c r="Q28" s="21"/>
      <c r="R28" s="54">
        <f t="shared" ref="R28:R32" si="36">I28-K28-L28</f>
        <v>450</v>
      </c>
      <c r="S28" s="55">
        <f t="shared" ref="S28:U28" si="37">SUM(S29:S32)</f>
        <v>450</v>
      </c>
      <c r="T28" s="55">
        <f t="shared" si="37"/>
        <v>0</v>
      </c>
      <c r="U28" s="55">
        <f t="shared" si="37"/>
        <v>450</v>
      </c>
      <c r="V28" s="21"/>
      <c r="W28" s="275"/>
      <c r="X28" s="21"/>
      <c r="Y28" s="56"/>
      <c r="Z28" s="49"/>
      <c r="AA28" s="1"/>
      <c r="AB28" s="21"/>
      <c r="AC28" s="21"/>
      <c r="AD28" s="1"/>
      <c r="AE28" s="1"/>
    </row>
    <row r="29" spans="1:31" ht="11.25" customHeight="1">
      <c r="A29" s="49">
        <v>6490001</v>
      </c>
      <c r="B29" s="49"/>
      <c r="C29" s="22" t="s">
        <v>29</v>
      </c>
      <c r="D29" s="21"/>
      <c r="E29" s="21" t="s">
        <v>30</v>
      </c>
      <c r="F29" s="21"/>
      <c r="G29" s="58">
        <v>0</v>
      </c>
      <c r="H29" s="58">
        <v>0</v>
      </c>
      <c r="I29" s="58">
        <f t="shared" ref="I29:I32" si="38">SUM(G29:H29)</f>
        <v>0</v>
      </c>
      <c r="J29" s="21"/>
      <c r="K29" s="23">
        <v>0</v>
      </c>
      <c r="L29" s="23">
        <v>0</v>
      </c>
      <c r="M29" s="23">
        <v>0</v>
      </c>
      <c r="N29" s="21"/>
      <c r="O29" s="59">
        <v>0</v>
      </c>
      <c r="P29" s="21"/>
      <c r="Q29" s="21"/>
      <c r="R29" s="61">
        <f t="shared" si="36"/>
        <v>0</v>
      </c>
      <c r="S29" s="60">
        <v>0</v>
      </c>
      <c r="T29" s="60">
        <v>0</v>
      </c>
      <c r="U29" s="60">
        <f t="shared" ref="U29:U32" si="39">SUM(S29:T29)</f>
        <v>0</v>
      </c>
      <c r="V29" s="21"/>
      <c r="W29" s="275" t="s">
        <v>408</v>
      </c>
      <c r="X29" s="21"/>
      <c r="Y29" s="56"/>
      <c r="Z29" s="49"/>
      <c r="AA29" s="1"/>
      <c r="AB29" s="21"/>
      <c r="AC29" s="21"/>
      <c r="AD29" s="1"/>
      <c r="AE29" s="1"/>
    </row>
    <row r="30" spans="1:31" ht="11.25" customHeight="1">
      <c r="A30" s="49">
        <v>6490002</v>
      </c>
      <c r="B30" s="49"/>
      <c r="C30" s="22" t="s">
        <v>31</v>
      </c>
      <c r="D30" s="21"/>
      <c r="E30" s="21" t="s">
        <v>32</v>
      </c>
      <c r="F30" s="21"/>
      <c r="G30" s="58">
        <v>450</v>
      </c>
      <c r="H30" s="58">
        <v>0</v>
      </c>
      <c r="I30" s="58">
        <f t="shared" si="38"/>
        <v>450</v>
      </c>
      <c r="J30" s="21"/>
      <c r="K30" s="23">
        <v>0</v>
      </c>
      <c r="L30" s="23">
        <v>0</v>
      </c>
      <c r="M30" s="23">
        <v>0</v>
      </c>
      <c r="N30" s="21"/>
      <c r="O30" s="59">
        <f>M30/I30</f>
        <v>0</v>
      </c>
      <c r="P30" s="21"/>
      <c r="Q30" s="21"/>
      <c r="R30" s="61">
        <f t="shared" si="36"/>
        <v>450</v>
      </c>
      <c r="S30" s="60">
        <v>450</v>
      </c>
      <c r="T30" s="60">
        <v>0</v>
      </c>
      <c r="U30" s="60">
        <f t="shared" si="39"/>
        <v>450</v>
      </c>
      <c r="V30" s="21"/>
      <c r="W30" s="275"/>
      <c r="X30" s="21"/>
      <c r="Y30" s="56"/>
      <c r="Z30" s="49"/>
      <c r="AA30" s="1"/>
      <c r="AB30" s="21"/>
      <c r="AC30" s="21"/>
      <c r="AD30" s="1"/>
      <c r="AE30" s="1"/>
    </row>
    <row r="31" spans="1:31" ht="11.25" customHeight="1">
      <c r="A31" s="49">
        <v>6490003</v>
      </c>
      <c r="B31" s="49"/>
      <c r="C31" s="22" t="s">
        <v>33</v>
      </c>
      <c r="D31" s="21"/>
      <c r="E31" s="21" t="s">
        <v>34</v>
      </c>
      <c r="F31" s="21"/>
      <c r="G31" s="58">
        <v>0</v>
      </c>
      <c r="H31" s="58">
        <v>0</v>
      </c>
      <c r="I31" s="58">
        <f t="shared" si="38"/>
        <v>0</v>
      </c>
      <c r="J31" s="21"/>
      <c r="K31" s="23">
        <v>0</v>
      </c>
      <c r="L31" s="23">
        <v>0</v>
      </c>
      <c r="M31" s="23">
        <v>0</v>
      </c>
      <c r="N31" s="21"/>
      <c r="O31" s="59">
        <v>0</v>
      </c>
      <c r="P31" s="21"/>
      <c r="Q31" s="21"/>
      <c r="R31" s="61">
        <f t="shared" si="36"/>
        <v>0</v>
      </c>
      <c r="S31" s="60">
        <v>0</v>
      </c>
      <c r="T31" s="60">
        <v>0</v>
      </c>
      <c r="U31" s="60">
        <f t="shared" si="39"/>
        <v>0</v>
      </c>
      <c r="V31" s="21"/>
      <c r="W31" s="275"/>
      <c r="X31" s="21"/>
      <c r="Y31" s="56"/>
      <c r="Z31" s="49"/>
      <c r="AA31" s="1"/>
      <c r="AB31" s="21"/>
      <c r="AC31" s="21"/>
      <c r="AD31" s="1"/>
      <c r="AE31" s="1"/>
    </row>
    <row r="32" spans="1:31" ht="11.25" customHeight="1">
      <c r="A32" s="49">
        <v>6490004</v>
      </c>
      <c r="B32" s="49"/>
      <c r="C32" s="22" t="s">
        <v>35</v>
      </c>
      <c r="D32" s="21"/>
      <c r="E32" s="21" t="s">
        <v>36</v>
      </c>
      <c r="F32" s="21"/>
      <c r="G32" s="58">
        <v>0</v>
      </c>
      <c r="H32" s="58">
        <v>0</v>
      </c>
      <c r="I32" s="58">
        <f t="shared" si="38"/>
        <v>0</v>
      </c>
      <c r="J32" s="21"/>
      <c r="K32" s="23">
        <v>0</v>
      </c>
      <c r="L32" s="23">
        <v>0</v>
      </c>
      <c r="M32" s="23">
        <f>K32+L32</f>
        <v>0</v>
      </c>
      <c r="N32" s="21"/>
      <c r="O32" s="59">
        <v>0</v>
      </c>
      <c r="P32" s="21"/>
      <c r="Q32" s="21"/>
      <c r="R32" s="61">
        <f t="shared" si="36"/>
        <v>0</v>
      </c>
      <c r="S32" s="60">
        <v>0</v>
      </c>
      <c r="T32" s="60">
        <v>0</v>
      </c>
      <c r="U32" s="60">
        <f t="shared" si="39"/>
        <v>0</v>
      </c>
      <c r="V32" s="21"/>
      <c r="W32" s="275"/>
      <c r="X32" s="21"/>
      <c r="Y32" s="56"/>
      <c r="Z32" s="49"/>
      <c r="AA32" s="1"/>
      <c r="AB32" s="21"/>
      <c r="AC32" s="21"/>
      <c r="AD32" s="1"/>
      <c r="AE32" s="1"/>
    </row>
    <row r="33" spans="1:31" ht="9.75" customHeight="1">
      <c r="A33" s="49"/>
      <c r="B33" s="49"/>
      <c r="C33" s="22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65"/>
      <c r="P33" s="21"/>
      <c r="Q33" s="21"/>
      <c r="R33" s="21"/>
      <c r="S33" s="23"/>
      <c r="T33" s="23"/>
      <c r="U33" s="23"/>
      <c r="V33" s="21"/>
      <c r="W33" s="275"/>
      <c r="X33" s="21"/>
      <c r="Y33" s="56"/>
      <c r="Z33" s="49"/>
      <c r="AA33" s="1"/>
      <c r="AB33" s="21"/>
      <c r="AC33" s="21"/>
      <c r="AD33" s="1"/>
      <c r="AE33" s="1"/>
    </row>
    <row r="34" spans="1:31" ht="15.75" customHeight="1">
      <c r="A34" s="49"/>
      <c r="B34" s="49"/>
      <c r="C34" s="22"/>
      <c r="D34" s="21"/>
      <c r="E34" s="21"/>
      <c r="F34" s="21"/>
      <c r="G34" s="23"/>
      <c r="H34" s="23"/>
      <c r="I34" s="23"/>
      <c r="J34" s="21"/>
      <c r="K34" s="23"/>
      <c r="L34" s="23"/>
      <c r="M34" s="23"/>
      <c r="N34" s="21"/>
      <c r="O34" s="24"/>
      <c r="P34" s="21"/>
      <c r="Q34" s="21"/>
      <c r="R34" s="4" t="s">
        <v>0</v>
      </c>
      <c r="S34" s="23"/>
      <c r="T34" s="23"/>
      <c r="U34" s="4" t="s">
        <v>0</v>
      </c>
      <c r="V34" s="21"/>
      <c r="W34" s="275"/>
      <c r="X34" s="21"/>
      <c r="Y34" s="56"/>
      <c r="Z34" s="49"/>
      <c r="AA34" s="66"/>
      <c r="AB34" s="21"/>
      <c r="AC34" s="21"/>
      <c r="AD34" s="1"/>
      <c r="AE34" s="1"/>
    </row>
    <row r="35" spans="1:31" ht="6.75" customHeight="1">
      <c r="A35" s="49"/>
      <c r="B35" s="49"/>
      <c r="C35" s="22"/>
      <c r="D35" s="21"/>
      <c r="E35" s="21"/>
      <c r="F35" s="21"/>
      <c r="G35" s="23"/>
      <c r="H35" s="23"/>
      <c r="I35" s="23"/>
      <c r="J35" s="21"/>
      <c r="K35" s="23"/>
      <c r="L35" s="23"/>
      <c r="M35" s="23"/>
      <c r="N35" s="21"/>
      <c r="O35" s="24"/>
      <c r="P35" s="21"/>
      <c r="Q35" s="21"/>
      <c r="R35" s="23"/>
      <c r="S35" s="23"/>
      <c r="T35" s="23"/>
      <c r="U35" s="23"/>
      <c r="V35" s="21"/>
      <c r="W35" s="275"/>
      <c r="X35" s="21"/>
      <c r="Y35" s="56"/>
      <c r="Z35" s="49"/>
      <c r="AA35" s="66"/>
      <c r="AB35" s="21"/>
      <c r="AC35" s="21"/>
      <c r="AD35" s="1"/>
      <c r="AE35" s="1"/>
    </row>
    <row r="36" spans="1:31" ht="13.5" customHeight="1" thickBot="1">
      <c r="A36" s="21"/>
      <c r="B36" s="21"/>
      <c r="C36" s="22"/>
      <c r="D36" s="21"/>
      <c r="E36" s="21"/>
      <c r="F36" s="21"/>
      <c r="J36" s="21"/>
      <c r="N36" s="21"/>
      <c r="O36" s="24"/>
      <c r="P36" s="21"/>
      <c r="Q36" s="21"/>
      <c r="R36" s="23"/>
      <c r="S36" s="23"/>
      <c r="T36" s="23"/>
      <c r="U36" s="23"/>
      <c r="V36" s="21"/>
      <c r="W36" s="275"/>
      <c r="X36" s="21"/>
      <c r="Y36" s="56"/>
      <c r="Z36" s="49"/>
      <c r="AA36" s="49"/>
      <c r="AB36" s="21"/>
      <c r="AC36" s="21"/>
      <c r="AD36" s="25"/>
      <c r="AE36" s="25"/>
    </row>
    <row r="37" spans="1:31" ht="12.75" customHeight="1">
      <c r="A37" s="396" t="s">
        <v>1</v>
      </c>
      <c r="B37" s="10"/>
      <c r="C37" s="422" t="s">
        <v>2</v>
      </c>
      <c r="D37" s="11"/>
      <c r="E37" s="423" t="s">
        <v>3</v>
      </c>
      <c r="F37" s="11"/>
      <c r="G37" s="376" t="s">
        <v>233</v>
      </c>
      <c r="H37" s="377"/>
      <c r="I37" s="378"/>
      <c r="J37" s="11"/>
      <c r="K37" s="400" t="s">
        <v>234</v>
      </c>
      <c r="L37" s="377"/>
      <c r="M37" s="378"/>
      <c r="N37" s="11"/>
      <c r="O37" s="12" t="s">
        <v>5</v>
      </c>
      <c r="P37" s="11"/>
      <c r="Q37" s="11"/>
      <c r="R37" s="422" t="s">
        <v>37</v>
      </c>
      <c r="S37" s="425" t="s">
        <v>4</v>
      </c>
      <c r="T37" s="377"/>
      <c r="U37" s="378"/>
      <c r="V37" s="11"/>
      <c r="W37" s="299"/>
      <c r="X37" s="13"/>
      <c r="Y37" s="217"/>
      <c r="Z37" s="49"/>
      <c r="AA37" s="49"/>
      <c r="AB37" s="14"/>
      <c r="AC37" s="14"/>
      <c r="AD37" s="15"/>
      <c r="AE37" s="15"/>
    </row>
    <row r="38" spans="1:31" ht="27.75" customHeight="1" thickBot="1">
      <c r="A38" s="397"/>
      <c r="B38" s="10"/>
      <c r="C38" s="410"/>
      <c r="D38" s="14"/>
      <c r="E38" s="424"/>
      <c r="F38" s="14"/>
      <c r="G38" s="379"/>
      <c r="H38" s="380"/>
      <c r="I38" s="381"/>
      <c r="J38" s="14"/>
      <c r="K38" s="379"/>
      <c r="L38" s="380"/>
      <c r="M38" s="381"/>
      <c r="N38" s="14"/>
      <c r="O38" s="17" t="s">
        <v>248</v>
      </c>
      <c r="P38" s="14"/>
      <c r="Q38" s="14"/>
      <c r="R38" s="410"/>
      <c r="S38" s="379"/>
      <c r="T38" s="380"/>
      <c r="U38" s="381"/>
      <c r="V38" s="14"/>
      <c r="W38" s="297"/>
      <c r="X38" s="14"/>
      <c r="Y38" s="67"/>
      <c r="Z38" s="49"/>
      <c r="AA38" s="49"/>
      <c r="AB38" s="14"/>
      <c r="AC38" s="14"/>
      <c r="AD38" s="15"/>
      <c r="AE38" s="15"/>
    </row>
    <row r="39" spans="1:31" ht="4.5" customHeight="1">
      <c r="A39" s="21"/>
      <c r="B39" s="21"/>
      <c r="C39" s="22"/>
      <c r="D39" s="21"/>
      <c r="E39" s="21"/>
      <c r="F39" s="21"/>
      <c r="G39" s="23"/>
      <c r="H39" s="23"/>
      <c r="I39" s="23"/>
      <c r="J39" s="21"/>
      <c r="K39" s="23"/>
      <c r="L39" s="23"/>
      <c r="M39" s="23"/>
      <c r="N39" s="21"/>
      <c r="O39" s="24"/>
      <c r="P39" s="21"/>
      <c r="Q39" s="21"/>
      <c r="R39" s="23"/>
      <c r="S39" s="23"/>
      <c r="T39" s="23"/>
      <c r="U39" s="23"/>
      <c r="V39" s="21"/>
      <c r="W39" s="275"/>
      <c r="X39" s="21"/>
      <c r="Y39" s="56"/>
      <c r="Z39" s="49"/>
      <c r="AA39" s="49"/>
      <c r="AB39" s="21"/>
      <c r="AC39" s="21"/>
      <c r="AD39" s="25"/>
      <c r="AE39" s="25"/>
    </row>
    <row r="40" spans="1:31" ht="13.5" customHeight="1" thickBot="1">
      <c r="A40" s="21"/>
      <c r="B40" s="21"/>
      <c r="C40" s="22"/>
      <c r="D40" s="21"/>
      <c r="E40" s="21"/>
      <c r="F40" s="21"/>
      <c r="G40" s="23" t="s">
        <v>6</v>
      </c>
      <c r="H40" s="23" t="s">
        <v>7</v>
      </c>
      <c r="I40" s="23" t="s">
        <v>8</v>
      </c>
      <c r="J40" s="21"/>
      <c r="K40" s="23" t="s">
        <v>6</v>
      </c>
      <c r="L40" s="23" t="s">
        <v>7</v>
      </c>
      <c r="M40" s="23" t="s">
        <v>8</v>
      </c>
      <c r="N40" s="21"/>
      <c r="O40" s="24"/>
      <c r="P40" s="21"/>
      <c r="Q40" s="21"/>
      <c r="R40" s="23"/>
      <c r="S40" s="23" t="s">
        <v>6</v>
      </c>
      <c r="T40" s="23" t="s">
        <v>7</v>
      </c>
      <c r="U40" s="23" t="s">
        <v>8</v>
      </c>
      <c r="V40" s="21"/>
      <c r="W40" s="275"/>
      <c r="X40" s="21"/>
      <c r="Y40" s="56"/>
      <c r="Z40" s="49"/>
      <c r="AA40" s="49"/>
      <c r="AB40" s="21"/>
      <c r="AC40" s="21"/>
      <c r="AD40" s="25"/>
      <c r="AE40" s="25"/>
    </row>
    <row r="41" spans="1:31" ht="17.25" customHeight="1" thickTop="1" thickBot="1">
      <c r="A41" s="26"/>
      <c r="B41" s="26"/>
      <c r="C41" s="27">
        <v>2</v>
      </c>
      <c r="D41" s="28"/>
      <c r="E41" s="29" t="s">
        <v>38</v>
      </c>
      <c r="F41" s="28"/>
      <c r="G41" s="68">
        <f t="shared" ref="G41:I41" si="40">SUM(G43,G53,G109)</f>
        <v>119920</v>
      </c>
      <c r="H41" s="68">
        <f t="shared" si="40"/>
        <v>27300</v>
      </c>
      <c r="I41" s="30">
        <f t="shared" si="40"/>
        <v>147220</v>
      </c>
      <c r="J41" s="28"/>
      <c r="K41" s="31">
        <f t="shared" ref="K41:L41" si="41">K43+K53+K109</f>
        <v>71274.459999999992</v>
      </c>
      <c r="L41" s="31">
        <f t="shared" si="41"/>
        <v>6463.42</v>
      </c>
      <c r="M41" s="31">
        <f>L41+K41</f>
        <v>77737.87999999999</v>
      </c>
      <c r="N41" s="28"/>
      <c r="O41" s="32">
        <f>M41/I41</f>
        <v>0.52803885341665524</v>
      </c>
      <c r="P41" s="28"/>
      <c r="Q41" s="28"/>
      <c r="R41" s="33">
        <f>R43+R53+R109</f>
        <v>69482.12000000001</v>
      </c>
      <c r="S41" s="69">
        <f t="shared" ref="S41:U41" si="42">SUM(S43,S53,S109)</f>
        <v>134870</v>
      </c>
      <c r="T41" s="69">
        <f t="shared" si="42"/>
        <v>17000</v>
      </c>
      <c r="U41" s="70">
        <f t="shared" si="42"/>
        <v>151870</v>
      </c>
      <c r="V41" s="28"/>
      <c r="W41" s="298"/>
      <c r="X41" s="28"/>
      <c r="Y41" s="71"/>
      <c r="Z41" s="49"/>
      <c r="AA41" s="49"/>
      <c r="AB41" s="35"/>
      <c r="AC41" s="72"/>
      <c r="AD41" s="1"/>
      <c r="AE41" s="1"/>
    </row>
    <row r="42" spans="1:31" ht="9.75" customHeight="1" thickTop="1">
      <c r="A42" s="7"/>
      <c r="B42" s="7"/>
      <c r="C42" s="8"/>
      <c r="D42" s="7"/>
      <c r="E42" s="7"/>
      <c r="F42" s="7"/>
      <c r="G42" s="7"/>
      <c r="H42" s="7"/>
      <c r="I42" s="44"/>
      <c r="J42" s="7"/>
      <c r="K42" s="44"/>
      <c r="L42" s="44"/>
      <c r="M42" s="44"/>
      <c r="N42" s="7"/>
      <c r="O42" s="73"/>
      <c r="P42" s="7"/>
      <c r="Q42" s="7"/>
      <c r="R42" s="44"/>
      <c r="S42" s="7"/>
      <c r="T42" s="7"/>
      <c r="U42" s="44"/>
      <c r="V42" s="7"/>
      <c r="W42" s="290"/>
      <c r="X42" s="7"/>
      <c r="Y42" s="48"/>
      <c r="Z42" s="7"/>
      <c r="AA42" s="1"/>
      <c r="AB42" s="7"/>
      <c r="AC42" s="7"/>
      <c r="AD42" s="1"/>
      <c r="AE42" s="1"/>
    </row>
    <row r="43" spans="1:31" ht="12.75" customHeight="1">
      <c r="A43" s="49"/>
      <c r="B43" s="49"/>
      <c r="C43" s="36">
        <v>21</v>
      </c>
      <c r="D43" s="7"/>
      <c r="E43" s="14" t="s">
        <v>39</v>
      </c>
      <c r="F43" s="7"/>
      <c r="G43" s="37">
        <f t="shared" ref="G43:I43" si="43">SUM(G45:G51)</f>
        <v>14040</v>
      </c>
      <c r="H43" s="37">
        <f t="shared" si="43"/>
        <v>5000</v>
      </c>
      <c r="I43" s="37">
        <f t="shared" si="43"/>
        <v>19040</v>
      </c>
      <c r="J43" s="7"/>
      <c r="K43" s="74">
        <f t="shared" ref="K43:L43" si="44">SUM(K45:K51)</f>
        <v>3691.5299999999997</v>
      </c>
      <c r="L43" s="74">
        <f t="shared" si="44"/>
        <v>0</v>
      </c>
      <c r="M43" s="74">
        <f>L43+K43</f>
        <v>3691.5299999999997</v>
      </c>
      <c r="N43" s="75"/>
      <c r="O43" s="39">
        <f>M43/I43</f>
        <v>0.19388287815126048</v>
      </c>
      <c r="P43" s="7"/>
      <c r="Q43" s="7"/>
      <c r="R43" s="40">
        <f t="shared" ref="R43:U43" si="45">SUM(R45:R51)</f>
        <v>15348.470000000001</v>
      </c>
      <c r="S43" s="41">
        <f t="shared" si="45"/>
        <v>23950</v>
      </c>
      <c r="T43" s="41">
        <f t="shared" si="45"/>
        <v>5000</v>
      </c>
      <c r="U43" s="41">
        <f t="shared" si="45"/>
        <v>28950</v>
      </c>
      <c r="V43" s="75"/>
      <c r="W43" s="290"/>
      <c r="X43" s="7"/>
      <c r="Y43" s="48"/>
      <c r="Z43" s="11"/>
      <c r="AA43" s="1"/>
      <c r="AB43" s="7"/>
      <c r="AC43" s="7"/>
      <c r="AD43" s="1"/>
      <c r="AE43" s="1"/>
    </row>
    <row r="44" spans="1:31" ht="6" customHeight="1">
      <c r="A44" s="49"/>
      <c r="B44" s="49"/>
      <c r="C44" s="8"/>
      <c r="D44" s="7"/>
      <c r="E44" s="7"/>
      <c r="F44" s="7"/>
      <c r="G44" s="43"/>
      <c r="H44" s="43"/>
      <c r="I44" s="43"/>
      <c r="J44" s="7"/>
      <c r="K44" s="76"/>
      <c r="L44" s="76"/>
      <c r="M44" s="76"/>
      <c r="N44" s="75"/>
      <c r="O44" s="45"/>
      <c r="P44" s="7"/>
      <c r="Q44" s="7"/>
      <c r="R44" s="46"/>
      <c r="S44" s="47"/>
      <c r="T44" s="47"/>
      <c r="U44" s="47"/>
      <c r="V44" s="75"/>
      <c r="W44" s="290"/>
      <c r="X44" s="7"/>
      <c r="Y44" s="48"/>
      <c r="Z44" s="7"/>
      <c r="AA44" s="1"/>
      <c r="AB44" s="7"/>
      <c r="AC44" s="7"/>
      <c r="AD44" s="1"/>
      <c r="AE44" s="1"/>
    </row>
    <row r="45" spans="1:31" ht="12" customHeight="1">
      <c r="A45" s="49">
        <v>6220001</v>
      </c>
      <c r="B45" s="49"/>
      <c r="C45" s="22">
        <v>212</v>
      </c>
      <c r="D45" s="21"/>
      <c r="E45" s="21" t="s">
        <v>40</v>
      </c>
      <c r="F45" s="21"/>
      <c r="G45" s="58">
        <f>1384.4+50+350+2000+5.6</f>
        <v>3790</v>
      </c>
      <c r="H45" s="58">
        <v>0</v>
      </c>
      <c r="I45" s="58">
        <f t="shared" ref="I45:I48" si="46">SUM(G45:H45)</f>
        <v>3790</v>
      </c>
      <c r="J45" s="21"/>
      <c r="K45" s="77">
        <v>1731.48</v>
      </c>
      <c r="L45" s="77">
        <v>0</v>
      </c>
      <c r="M45" s="77">
        <f>K45+L45</f>
        <v>1731.48</v>
      </c>
      <c r="N45" s="78"/>
      <c r="O45" s="59">
        <f>M45/I45</f>
        <v>0.45685488126649076</v>
      </c>
      <c r="P45" s="21"/>
      <c r="Q45" s="21"/>
      <c r="R45" s="61">
        <f t="shared" ref="R45:R51" si="47">I45-K45-L45</f>
        <v>2058.52</v>
      </c>
      <c r="S45" s="60">
        <v>11700</v>
      </c>
      <c r="T45" s="60">
        <v>0</v>
      </c>
      <c r="U45" s="60">
        <f t="shared" ref="U45:U48" si="48">SUM(S45:T45)</f>
        <v>11700</v>
      </c>
      <c r="V45" s="78"/>
      <c r="W45" s="57" t="s">
        <v>41</v>
      </c>
      <c r="Y45" s="56"/>
      <c r="Z45" s="49"/>
      <c r="AA45" s="1"/>
      <c r="AB45" s="21"/>
      <c r="AC45" s="21"/>
      <c r="AD45" s="1"/>
      <c r="AE45" s="1"/>
    </row>
    <row r="46" spans="1:31" ht="11.25" customHeight="1">
      <c r="A46" s="49">
        <v>6220003</v>
      </c>
      <c r="B46" s="49"/>
      <c r="C46" s="22">
        <v>213</v>
      </c>
      <c r="D46" s="21"/>
      <c r="E46" s="21" t="s">
        <v>42</v>
      </c>
      <c r="F46" s="21"/>
      <c r="G46" s="58">
        <v>1000</v>
      </c>
      <c r="H46" s="58">
        <v>0</v>
      </c>
      <c r="I46" s="58">
        <f t="shared" si="46"/>
        <v>1000</v>
      </c>
      <c r="J46" s="21"/>
      <c r="K46" s="77">
        <v>0</v>
      </c>
      <c r="L46" s="77">
        <v>0</v>
      </c>
      <c r="M46" s="77">
        <v>0</v>
      </c>
      <c r="N46" s="78"/>
      <c r="O46" s="59">
        <v>0</v>
      </c>
      <c r="P46" s="21"/>
      <c r="Q46" s="21"/>
      <c r="R46" s="61">
        <f t="shared" si="47"/>
        <v>1000</v>
      </c>
      <c r="S46" s="60">
        <v>1000</v>
      </c>
      <c r="T46" s="60">
        <v>0</v>
      </c>
      <c r="U46" s="60">
        <f t="shared" si="48"/>
        <v>1000</v>
      </c>
      <c r="V46" s="78"/>
      <c r="W46" s="275" t="s">
        <v>275</v>
      </c>
      <c r="Y46" s="56"/>
      <c r="Z46" s="49"/>
      <c r="AA46" s="1"/>
      <c r="AB46" s="21"/>
      <c r="AC46" s="21"/>
      <c r="AD46" s="1"/>
      <c r="AE46" s="1"/>
    </row>
    <row r="47" spans="1:31" ht="11.25" customHeight="1">
      <c r="A47" s="49">
        <v>6220005</v>
      </c>
      <c r="B47" s="49"/>
      <c r="C47" s="22">
        <v>215</v>
      </c>
      <c r="D47" s="21"/>
      <c r="E47" s="21" t="s">
        <v>43</v>
      </c>
      <c r="F47" s="21"/>
      <c r="G47" s="58">
        <f>1290+750+10</f>
        <v>2050</v>
      </c>
      <c r="H47" s="58">
        <v>0</v>
      </c>
      <c r="I47" s="58">
        <f t="shared" si="46"/>
        <v>2050</v>
      </c>
      <c r="J47" s="21"/>
      <c r="K47" s="77">
        <v>795.47</v>
      </c>
      <c r="L47" s="77">
        <v>0</v>
      </c>
      <c r="M47" s="77">
        <f t="shared" ref="M47:M48" si="49">K47+L47</f>
        <v>795.47</v>
      </c>
      <c r="N47" s="78"/>
      <c r="O47" s="59">
        <f t="shared" ref="O47:O48" si="50">M47/I47</f>
        <v>0.38803414634146344</v>
      </c>
      <c r="P47" s="21"/>
      <c r="Q47" s="21"/>
      <c r="R47" s="61">
        <f t="shared" si="47"/>
        <v>1254.53</v>
      </c>
      <c r="S47" s="60">
        <f>1290+750+10</f>
        <v>2050</v>
      </c>
      <c r="T47" s="60">
        <v>0</v>
      </c>
      <c r="U47" s="60">
        <f t="shared" si="48"/>
        <v>2050</v>
      </c>
      <c r="V47" s="78"/>
      <c r="W47" s="275" t="s">
        <v>409</v>
      </c>
      <c r="X47" s="226"/>
      <c r="Y47" s="56"/>
      <c r="Z47" s="49"/>
      <c r="AA47" s="1"/>
      <c r="AB47" s="21"/>
      <c r="AC47" s="21"/>
      <c r="AD47" s="1"/>
      <c r="AE47" s="1"/>
    </row>
    <row r="48" spans="1:31" ht="11.25" customHeight="1">
      <c r="A48" s="49">
        <v>6220006</v>
      </c>
      <c r="B48" s="49"/>
      <c r="C48" s="22">
        <v>216</v>
      </c>
      <c r="D48" s="21"/>
      <c r="E48" s="21" t="s">
        <v>44</v>
      </c>
      <c r="F48" s="21"/>
      <c r="G48" s="58">
        <f>2900+72+44+84+100</f>
        <v>3200</v>
      </c>
      <c r="H48" s="58">
        <v>0</v>
      </c>
      <c r="I48" s="58">
        <f t="shared" si="46"/>
        <v>3200</v>
      </c>
      <c r="J48" s="21"/>
      <c r="K48" s="77">
        <v>1164.58</v>
      </c>
      <c r="L48" s="77">
        <v>0</v>
      </c>
      <c r="M48" s="77">
        <f t="shared" si="49"/>
        <v>1164.58</v>
      </c>
      <c r="N48" s="78"/>
      <c r="O48" s="59">
        <f t="shared" si="50"/>
        <v>0.36393124999999998</v>
      </c>
      <c r="P48" s="21"/>
      <c r="Q48" s="21"/>
      <c r="R48" s="61">
        <f t="shared" si="47"/>
        <v>2035.42</v>
      </c>
      <c r="S48" s="60">
        <v>3200</v>
      </c>
      <c r="T48" s="60">
        <v>0</v>
      </c>
      <c r="U48" s="60">
        <f t="shared" si="48"/>
        <v>3200</v>
      </c>
      <c r="V48" s="78"/>
      <c r="W48" s="275" t="s">
        <v>411</v>
      </c>
      <c r="X48" s="226"/>
      <c r="Y48" s="56"/>
      <c r="Z48" s="49"/>
      <c r="AA48" s="1"/>
      <c r="AB48" s="21"/>
      <c r="AC48" s="21"/>
      <c r="AD48" s="1"/>
      <c r="AE48" s="1"/>
    </row>
    <row r="49" spans="1:31" ht="11.25" customHeight="1">
      <c r="A49" s="49"/>
      <c r="B49" s="49"/>
      <c r="C49" s="22">
        <v>217</v>
      </c>
      <c r="D49" s="57"/>
      <c r="E49" s="21" t="s">
        <v>45</v>
      </c>
      <c r="F49" s="57"/>
      <c r="G49" s="58">
        <v>0</v>
      </c>
      <c r="H49" s="58">
        <v>0</v>
      </c>
      <c r="I49" s="58">
        <v>0</v>
      </c>
      <c r="J49" s="57"/>
      <c r="K49" s="77">
        <v>0</v>
      </c>
      <c r="L49" s="77">
        <v>0</v>
      </c>
      <c r="M49" s="77">
        <v>0</v>
      </c>
      <c r="N49" s="79"/>
      <c r="O49" s="59">
        <v>0</v>
      </c>
      <c r="P49" s="57"/>
      <c r="Q49" s="57"/>
      <c r="R49" s="61">
        <f t="shared" si="47"/>
        <v>0</v>
      </c>
      <c r="S49" s="60">
        <v>0</v>
      </c>
      <c r="T49" s="60">
        <v>0</v>
      </c>
      <c r="U49" s="60">
        <v>0</v>
      </c>
      <c r="V49" s="79"/>
      <c r="W49" s="307" t="s">
        <v>404</v>
      </c>
      <c r="X49" s="226"/>
      <c r="Y49" s="56"/>
      <c r="Z49" s="49"/>
      <c r="AA49" s="1"/>
      <c r="AB49" s="21"/>
      <c r="AC49" s="21"/>
      <c r="AD49" s="1"/>
      <c r="AE49" s="1"/>
    </row>
    <row r="50" spans="1:31" ht="11.25" customHeight="1">
      <c r="A50" s="49">
        <v>6220009</v>
      </c>
      <c r="B50" s="49"/>
      <c r="C50" s="22">
        <v>219</v>
      </c>
      <c r="D50" s="21"/>
      <c r="E50" s="21" t="s">
        <v>399</v>
      </c>
      <c r="F50" s="21"/>
      <c r="G50" s="58">
        <v>3000</v>
      </c>
      <c r="H50" s="58">
        <v>5000</v>
      </c>
      <c r="I50" s="58">
        <f t="shared" ref="I50:I51" si="51">SUM(G50:H50)</f>
        <v>8000</v>
      </c>
      <c r="J50" s="21"/>
      <c r="K50" s="77">
        <v>0</v>
      </c>
      <c r="L50" s="77">
        <v>0</v>
      </c>
      <c r="M50" s="77">
        <v>0</v>
      </c>
      <c r="N50" s="78"/>
      <c r="O50" s="59">
        <f t="shared" ref="O50:O51" si="52">M50/I50</f>
        <v>0</v>
      </c>
      <c r="P50" s="21"/>
      <c r="Q50" s="21"/>
      <c r="R50" s="61">
        <f t="shared" si="47"/>
        <v>8000</v>
      </c>
      <c r="S50" s="60">
        <v>6000</v>
      </c>
      <c r="T50" s="60">
        <v>5000</v>
      </c>
      <c r="U50" s="60">
        <f t="shared" ref="U50:U51" si="53">SUM(S50:T50)</f>
        <v>11000</v>
      </c>
      <c r="V50" s="78"/>
      <c r="W50" s="275" t="s">
        <v>410</v>
      </c>
      <c r="X50" s="226"/>
      <c r="Y50" s="56"/>
      <c r="Z50" s="49"/>
      <c r="AA50" s="1"/>
      <c r="AB50" s="21"/>
      <c r="AC50" s="21"/>
      <c r="AD50" s="1"/>
      <c r="AE50" s="1"/>
    </row>
    <row r="51" spans="1:31" ht="12.75" customHeight="1">
      <c r="A51" s="49"/>
      <c r="B51" s="49"/>
      <c r="C51" s="22">
        <v>220</v>
      </c>
      <c r="D51" s="80"/>
      <c r="E51" s="21" t="s">
        <v>46</v>
      </c>
      <c r="F51" s="80"/>
      <c r="G51" s="58">
        <v>1000</v>
      </c>
      <c r="H51" s="58">
        <v>0</v>
      </c>
      <c r="I51" s="58">
        <f t="shared" si="51"/>
        <v>1000</v>
      </c>
      <c r="J51" s="80"/>
      <c r="K51" s="77">
        <v>0</v>
      </c>
      <c r="L51" s="77">
        <v>0</v>
      </c>
      <c r="M51" s="77">
        <v>0</v>
      </c>
      <c r="N51" s="81"/>
      <c r="O51" s="59">
        <f t="shared" si="52"/>
        <v>0</v>
      </c>
      <c r="P51" s="80"/>
      <c r="Q51" s="80"/>
      <c r="R51" s="61">
        <f t="shared" si="47"/>
        <v>1000</v>
      </c>
      <c r="S51" s="60">
        <v>0</v>
      </c>
      <c r="T51" s="60">
        <v>0</v>
      </c>
      <c r="U51" s="60">
        <f t="shared" si="53"/>
        <v>0</v>
      </c>
      <c r="V51" s="81"/>
      <c r="W51" s="307" t="s">
        <v>404</v>
      </c>
      <c r="X51" s="80"/>
      <c r="Y51" s="56"/>
      <c r="Z51" s="49"/>
      <c r="AA51" s="1"/>
      <c r="AB51" s="21"/>
      <c r="AC51" s="21"/>
      <c r="AD51" s="1"/>
      <c r="AE51" s="1"/>
    </row>
    <row r="52" spans="1:31" ht="12.75" customHeight="1">
      <c r="A52" s="49"/>
      <c r="B52" s="49"/>
      <c r="C52" s="8"/>
      <c r="D52" s="7"/>
      <c r="E52" s="7"/>
      <c r="F52" s="7"/>
      <c r="G52" s="43"/>
      <c r="H52" s="43"/>
      <c r="I52" s="43"/>
      <c r="J52" s="7"/>
      <c r="K52" s="76"/>
      <c r="L52" s="76"/>
      <c r="M52" s="76"/>
      <c r="N52" s="75"/>
      <c r="O52" s="45"/>
      <c r="P52" s="7"/>
      <c r="Q52" s="7"/>
      <c r="R52" s="46"/>
      <c r="S52" s="47"/>
      <c r="T52" s="47"/>
      <c r="U52" s="47"/>
      <c r="V52" s="75"/>
      <c r="W52" s="290"/>
      <c r="X52" s="7"/>
      <c r="Y52" s="48"/>
      <c r="Z52" s="7"/>
      <c r="AA52" s="1"/>
      <c r="AB52" s="7"/>
      <c r="AC52" s="7"/>
      <c r="AD52" s="1"/>
      <c r="AE52" s="1"/>
    </row>
    <row r="53" spans="1:31" ht="12.75" customHeight="1">
      <c r="A53" s="49"/>
      <c r="B53" s="49"/>
      <c r="C53" s="36">
        <v>22</v>
      </c>
      <c r="D53" s="7"/>
      <c r="E53" s="14" t="s">
        <v>47</v>
      </c>
      <c r="F53" s="7"/>
      <c r="G53" s="37">
        <f t="shared" ref="G53:H53" si="54">SUM(G55,G62,G66,G78,G82,G85,G99)</f>
        <v>62780</v>
      </c>
      <c r="H53" s="37">
        <f t="shared" si="54"/>
        <v>22300</v>
      </c>
      <c r="I53" s="37">
        <f>SUM(G53:H53)</f>
        <v>85080</v>
      </c>
      <c r="J53" s="7"/>
      <c r="K53" s="74">
        <f t="shared" ref="K53:L53" si="55">K55+K62+K66+K78+K82+K85+K99</f>
        <v>37426.199999999997</v>
      </c>
      <c r="L53" s="74">
        <f t="shared" si="55"/>
        <v>6463.42</v>
      </c>
      <c r="M53" s="74">
        <f>L53+K53</f>
        <v>43889.619999999995</v>
      </c>
      <c r="N53" s="75"/>
      <c r="O53" s="39">
        <f>M53/I53</f>
        <v>0.51586295251527969</v>
      </c>
      <c r="P53" s="7"/>
      <c r="Q53" s="7"/>
      <c r="R53" s="40">
        <f>R55+R62+R66+R78+R82+R85+R99</f>
        <v>41190.380000000005</v>
      </c>
      <c r="S53" s="41">
        <f t="shared" ref="S53:T53" si="56">SUM(S55,S62,S66,S78,S82,S85,S99)</f>
        <v>63448</v>
      </c>
      <c r="T53" s="41">
        <f t="shared" si="56"/>
        <v>12000</v>
      </c>
      <c r="U53" s="41">
        <f>SUM(S53:T53)</f>
        <v>75448</v>
      </c>
      <c r="V53" s="75"/>
      <c r="W53" s="290"/>
      <c r="X53" s="7"/>
      <c r="Y53" s="48"/>
      <c r="Z53" s="11"/>
      <c r="AA53" s="1"/>
      <c r="AB53" s="7"/>
      <c r="AC53" s="7"/>
      <c r="AD53" s="1"/>
      <c r="AE53" s="1"/>
    </row>
    <row r="54" spans="1:31" ht="6" customHeight="1">
      <c r="A54" s="49"/>
      <c r="B54" s="49"/>
      <c r="C54" s="8"/>
      <c r="D54" s="7"/>
      <c r="E54" s="7"/>
      <c r="F54" s="7"/>
      <c r="G54" s="43"/>
      <c r="H54" s="43"/>
      <c r="I54" s="43"/>
      <c r="J54" s="7"/>
      <c r="K54" s="76"/>
      <c r="L54" s="76"/>
      <c r="M54" s="76"/>
      <c r="N54" s="75"/>
      <c r="O54" s="45"/>
      <c r="P54" s="7"/>
      <c r="Q54" s="7"/>
      <c r="R54" s="46"/>
      <c r="S54" s="47"/>
      <c r="T54" s="47"/>
      <c r="U54" s="47"/>
      <c r="V54" s="75"/>
      <c r="W54" s="290"/>
      <c r="X54" s="7"/>
      <c r="Y54" s="48"/>
      <c r="Z54" s="7"/>
      <c r="AA54" s="1"/>
      <c r="AB54" s="7"/>
      <c r="AC54" s="7"/>
      <c r="AD54" s="1"/>
      <c r="AE54" s="1"/>
    </row>
    <row r="55" spans="1:31" ht="11.25" customHeight="1">
      <c r="A55" s="49"/>
      <c r="B55" s="49"/>
      <c r="C55" s="22">
        <v>220</v>
      </c>
      <c r="D55" s="21"/>
      <c r="E55" s="50" t="s">
        <v>48</v>
      </c>
      <c r="F55" s="21"/>
      <c r="G55" s="51">
        <f t="shared" ref="G55:I55" si="57">SUM(G56:G60)</f>
        <v>1780</v>
      </c>
      <c r="H55" s="51">
        <f t="shared" si="57"/>
        <v>0</v>
      </c>
      <c r="I55" s="51">
        <f t="shared" si="57"/>
        <v>1780</v>
      </c>
      <c r="J55" s="21"/>
      <c r="K55" s="82">
        <f t="shared" ref="K55:L55" si="58">SUM(K56:K60)</f>
        <v>1056.19</v>
      </c>
      <c r="L55" s="82">
        <f t="shared" si="58"/>
        <v>0</v>
      </c>
      <c r="M55" s="82">
        <f t="shared" ref="M55:M56" si="59">K55+L55</f>
        <v>1056.19</v>
      </c>
      <c r="N55" s="78"/>
      <c r="O55" s="53">
        <f t="shared" ref="O55:O56" si="60">M55/I55</f>
        <v>0.59336516853932586</v>
      </c>
      <c r="P55" s="21"/>
      <c r="Q55" s="21"/>
      <c r="R55" s="54">
        <f t="shared" ref="R55:U55" si="61">SUM(R56:R60)</f>
        <v>723.81000000000006</v>
      </c>
      <c r="S55" s="55">
        <f t="shared" si="61"/>
        <v>1298</v>
      </c>
      <c r="T55" s="55">
        <f t="shared" si="61"/>
        <v>0</v>
      </c>
      <c r="U55" s="55">
        <f t="shared" si="61"/>
        <v>1298</v>
      </c>
      <c r="V55" s="78"/>
      <c r="W55" s="275"/>
      <c r="X55" s="21"/>
      <c r="Y55" s="56"/>
      <c r="Z55" s="49"/>
      <c r="AA55" s="1"/>
      <c r="AB55" s="21"/>
      <c r="AC55" s="21"/>
      <c r="AD55" s="1"/>
      <c r="AE55" s="1"/>
    </row>
    <row r="56" spans="1:31" ht="11.25" customHeight="1">
      <c r="A56" s="49">
        <v>6290001</v>
      </c>
      <c r="B56" s="49"/>
      <c r="C56" s="22" t="s">
        <v>49</v>
      </c>
      <c r="D56" s="21"/>
      <c r="E56" s="21" t="s">
        <v>50</v>
      </c>
      <c r="F56" s="21"/>
      <c r="G56" s="58">
        <v>1000</v>
      </c>
      <c r="H56" s="58">
        <v>0</v>
      </c>
      <c r="I56" s="58">
        <f t="shared" ref="I56:I60" si="62">SUM(G56:H56)</f>
        <v>1000</v>
      </c>
      <c r="J56" s="21"/>
      <c r="K56" s="77">
        <v>258.89</v>
      </c>
      <c r="L56" s="77">
        <v>0</v>
      </c>
      <c r="M56" s="77">
        <f t="shared" si="59"/>
        <v>258.89</v>
      </c>
      <c r="N56" s="78"/>
      <c r="O56" s="59">
        <f t="shared" si="60"/>
        <v>0.25889000000000001</v>
      </c>
      <c r="P56" s="21"/>
      <c r="Q56" s="21"/>
      <c r="R56" s="61">
        <f t="shared" ref="R56:R60" si="63">I56-K56-L56</f>
        <v>741.11</v>
      </c>
      <c r="S56" s="60">
        <v>500</v>
      </c>
      <c r="T56" s="60">
        <v>0</v>
      </c>
      <c r="U56" s="60">
        <f t="shared" ref="U56:U60" si="64">SUM(S56:T56)</f>
        <v>500</v>
      </c>
      <c r="V56" s="78"/>
      <c r="W56" s="275" t="s">
        <v>48</v>
      </c>
      <c r="X56" s="62"/>
      <c r="Y56" s="56"/>
      <c r="Z56" s="49"/>
      <c r="AA56" s="1"/>
      <c r="AB56" s="21"/>
      <c r="AC56" s="21"/>
      <c r="AD56" s="1"/>
      <c r="AE56" s="1"/>
    </row>
    <row r="57" spans="1:31" ht="11.25" customHeight="1">
      <c r="A57" s="49">
        <v>6290002</v>
      </c>
      <c r="B57" s="49"/>
      <c r="C57" s="22" t="s">
        <v>51</v>
      </c>
      <c r="D57" s="21"/>
      <c r="E57" s="21" t="s">
        <v>52</v>
      </c>
      <c r="F57" s="21"/>
      <c r="G57" s="58">
        <v>0</v>
      </c>
      <c r="H57" s="58">
        <v>0</v>
      </c>
      <c r="I57" s="58">
        <f t="shared" si="62"/>
        <v>0</v>
      </c>
      <c r="J57" s="21"/>
      <c r="K57" s="77">
        <v>0</v>
      </c>
      <c r="L57" s="77">
        <v>0</v>
      </c>
      <c r="M57" s="77">
        <v>0</v>
      </c>
      <c r="N57" s="78"/>
      <c r="O57" s="59">
        <v>0</v>
      </c>
      <c r="P57" s="21"/>
      <c r="Q57" s="21"/>
      <c r="R57" s="61">
        <f t="shared" si="63"/>
        <v>0</v>
      </c>
      <c r="S57" s="60">
        <v>0</v>
      </c>
      <c r="T57" s="60">
        <v>0</v>
      </c>
      <c r="U57" s="60">
        <f t="shared" si="64"/>
        <v>0</v>
      </c>
      <c r="V57" s="78"/>
      <c r="W57" s="275"/>
      <c r="X57" s="21"/>
      <c r="Y57" s="56"/>
      <c r="Z57" s="49"/>
      <c r="AA57" s="1"/>
      <c r="AB57" s="21"/>
      <c r="AC57" s="21"/>
      <c r="AD57" s="1"/>
      <c r="AE57" s="1"/>
    </row>
    <row r="58" spans="1:31" ht="12.75" customHeight="1">
      <c r="A58" s="49">
        <v>6290003</v>
      </c>
      <c r="B58" s="49"/>
      <c r="C58" s="22" t="s">
        <v>53</v>
      </c>
      <c r="D58" s="21"/>
      <c r="E58" s="21" t="s">
        <v>54</v>
      </c>
      <c r="F58" s="21"/>
      <c r="G58" s="58">
        <v>0</v>
      </c>
      <c r="H58" s="58">
        <v>0</v>
      </c>
      <c r="I58" s="58">
        <f t="shared" si="62"/>
        <v>0</v>
      </c>
      <c r="J58" s="21"/>
      <c r="K58" s="77">
        <v>0</v>
      </c>
      <c r="L58" s="77">
        <v>0</v>
      </c>
      <c r="M58" s="77">
        <v>0</v>
      </c>
      <c r="N58" s="78"/>
      <c r="O58" s="59">
        <v>0</v>
      </c>
      <c r="P58" s="21"/>
      <c r="Q58" s="21"/>
      <c r="R58" s="61">
        <f t="shared" si="63"/>
        <v>0</v>
      </c>
      <c r="S58" s="60">
        <v>0</v>
      </c>
      <c r="T58" s="60">
        <v>0</v>
      </c>
      <c r="U58" s="60">
        <f t="shared" si="64"/>
        <v>0</v>
      </c>
      <c r="V58" s="78"/>
      <c r="W58" s="275"/>
      <c r="X58" s="21"/>
      <c r="Y58" s="56"/>
      <c r="Z58" s="49"/>
      <c r="AA58" s="1"/>
      <c r="AB58" s="21"/>
      <c r="AC58" s="21"/>
      <c r="AD58" s="1"/>
      <c r="AE58" s="1"/>
    </row>
    <row r="59" spans="1:31" ht="11.25" customHeight="1">
      <c r="A59" s="49">
        <v>6290004</v>
      </c>
      <c r="B59" s="49"/>
      <c r="C59" s="22" t="s">
        <v>55</v>
      </c>
      <c r="D59" s="21"/>
      <c r="E59" s="21" t="s">
        <v>56</v>
      </c>
      <c r="F59" s="21"/>
      <c r="G59" s="58">
        <v>0</v>
      </c>
      <c r="H59" s="58">
        <v>0</v>
      </c>
      <c r="I59" s="58">
        <f t="shared" si="62"/>
        <v>0</v>
      </c>
      <c r="J59" s="21"/>
      <c r="K59" s="77">
        <v>0</v>
      </c>
      <c r="L59" s="77">
        <v>0</v>
      </c>
      <c r="M59" s="77">
        <v>0</v>
      </c>
      <c r="N59" s="78"/>
      <c r="O59" s="59">
        <v>0</v>
      </c>
      <c r="P59" s="21"/>
      <c r="Q59" s="21"/>
      <c r="R59" s="61">
        <f t="shared" si="63"/>
        <v>0</v>
      </c>
      <c r="S59" s="60">
        <v>0</v>
      </c>
      <c r="T59" s="60">
        <v>0</v>
      </c>
      <c r="U59" s="60">
        <f t="shared" si="64"/>
        <v>0</v>
      </c>
      <c r="V59" s="78"/>
      <c r="W59" s="290"/>
      <c r="X59" s="21"/>
      <c r="Y59" s="56"/>
      <c r="Z59" s="49"/>
      <c r="AA59" s="1"/>
      <c r="AB59" s="21"/>
      <c r="AC59" s="21"/>
      <c r="AD59" s="1"/>
      <c r="AE59" s="1"/>
    </row>
    <row r="60" spans="1:31" ht="11.25" customHeight="1">
      <c r="A60" s="49"/>
      <c r="B60" s="49"/>
      <c r="C60" s="22" t="s">
        <v>57</v>
      </c>
      <c r="D60" s="21"/>
      <c r="E60" s="21" t="s">
        <v>58</v>
      </c>
      <c r="F60" s="21"/>
      <c r="G60" s="58">
        <v>780</v>
      </c>
      <c r="H60" s="58">
        <v>0</v>
      </c>
      <c r="I60" s="58">
        <f t="shared" si="62"/>
        <v>780</v>
      </c>
      <c r="J60" s="21"/>
      <c r="K60" s="77">
        <v>797.3</v>
      </c>
      <c r="L60" s="77">
        <v>0</v>
      </c>
      <c r="M60" s="77">
        <f>L60+K60</f>
        <v>797.3</v>
      </c>
      <c r="N60" s="78"/>
      <c r="O60" s="59">
        <f>M60/I60</f>
        <v>1.0221794871794871</v>
      </c>
      <c r="P60" s="21"/>
      <c r="Q60" s="21"/>
      <c r="R60" s="61">
        <f t="shared" si="63"/>
        <v>-17.299999999999955</v>
      </c>
      <c r="S60" s="60">
        <f>780+18</f>
        <v>798</v>
      </c>
      <c r="T60" s="60">
        <v>0</v>
      </c>
      <c r="U60" s="60">
        <f t="shared" si="64"/>
        <v>798</v>
      </c>
      <c r="V60" s="78"/>
      <c r="W60" s="275" t="s">
        <v>412</v>
      </c>
      <c r="X60" s="62"/>
      <c r="Y60" s="56"/>
      <c r="Z60" s="49"/>
      <c r="AA60" s="1"/>
      <c r="AB60" s="21"/>
      <c r="AC60" s="21"/>
      <c r="AD60" s="1"/>
      <c r="AE60" s="1"/>
    </row>
    <row r="61" spans="1:31" ht="11.25" customHeight="1">
      <c r="A61" s="49"/>
      <c r="B61" s="49"/>
      <c r="C61" s="22"/>
      <c r="D61" s="21"/>
      <c r="E61" s="57"/>
      <c r="F61" s="21"/>
      <c r="G61" s="58"/>
      <c r="H61" s="58"/>
      <c r="I61" s="58"/>
      <c r="J61" s="21"/>
      <c r="K61" s="77"/>
      <c r="L61" s="77"/>
      <c r="M61" s="77"/>
      <c r="N61" s="78"/>
      <c r="O61" s="59"/>
      <c r="P61" s="21"/>
      <c r="Q61" s="21"/>
      <c r="R61" s="61"/>
      <c r="S61" s="60"/>
      <c r="T61" s="60"/>
      <c r="U61" s="60"/>
      <c r="V61" s="78"/>
      <c r="W61" s="275"/>
      <c r="X61" s="21"/>
      <c r="Y61" s="56"/>
      <c r="Z61" s="49"/>
      <c r="AA61" s="1"/>
      <c r="AB61" s="21"/>
      <c r="AC61" s="21"/>
      <c r="AD61" s="1"/>
      <c r="AE61" s="1"/>
    </row>
    <row r="62" spans="1:31" ht="11.25" customHeight="1">
      <c r="A62" s="49"/>
      <c r="B62" s="49"/>
      <c r="C62" s="22">
        <v>221</v>
      </c>
      <c r="D62" s="21"/>
      <c r="E62" s="50" t="s">
        <v>59</v>
      </c>
      <c r="F62" s="21"/>
      <c r="G62" s="51">
        <f t="shared" ref="G62:H62" si="65">SUM(G63:G64)</f>
        <v>1800</v>
      </c>
      <c r="H62" s="51">
        <f t="shared" si="65"/>
        <v>0</v>
      </c>
      <c r="I62" s="51">
        <f t="shared" ref="I62:I64" si="66">SUM(G62:H62)</f>
        <v>1800</v>
      </c>
      <c r="J62" s="21"/>
      <c r="K62" s="82">
        <f t="shared" ref="K62:L62" si="67">SUM(K63:K64)</f>
        <v>1498.8899999999999</v>
      </c>
      <c r="L62" s="82">
        <f t="shared" si="67"/>
        <v>0</v>
      </c>
      <c r="M62" s="82">
        <f>L62+K62</f>
        <v>1498.8899999999999</v>
      </c>
      <c r="N62" s="78"/>
      <c r="O62" s="53">
        <f t="shared" ref="O62:O64" si="68">M62/I62</f>
        <v>0.83271666666666655</v>
      </c>
      <c r="P62" s="21"/>
      <c r="Q62" s="21"/>
      <c r="R62" s="54">
        <f t="shared" ref="R62:T62" si="69">SUM(R63:R64)</f>
        <v>301.11</v>
      </c>
      <c r="S62" s="55">
        <f t="shared" si="69"/>
        <v>2400</v>
      </c>
      <c r="T62" s="55">
        <f t="shared" si="69"/>
        <v>0</v>
      </c>
      <c r="U62" s="55">
        <f t="shared" ref="U62:U64" si="70">SUM(S62:T62)</f>
        <v>2400</v>
      </c>
      <c r="V62" s="78"/>
      <c r="W62" s="275"/>
      <c r="X62" s="21"/>
      <c r="Y62" s="56"/>
      <c r="Z62" s="49"/>
      <c r="AA62" s="1"/>
      <c r="AB62" s="21"/>
      <c r="AC62" s="21"/>
      <c r="AD62" s="1"/>
      <c r="AE62" s="1"/>
    </row>
    <row r="63" spans="1:31" ht="11.25" customHeight="1">
      <c r="A63" s="49">
        <v>6280001</v>
      </c>
      <c r="B63" s="49"/>
      <c r="C63" s="22" t="s">
        <v>60</v>
      </c>
      <c r="D63" s="21"/>
      <c r="E63" s="21" t="s">
        <v>61</v>
      </c>
      <c r="F63" s="21"/>
      <c r="G63" s="58">
        <v>1500</v>
      </c>
      <c r="H63" s="58">
        <v>0</v>
      </c>
      <c r="I63" s="58">
        <f t="shared" si="66"/>
        <v>1500</v>
      </c>
      <c r="J63" s="21"/>
      <c r="K63" s="77">
        <v>1189.54</v>
      </c>
      <c r="L63" s="77">
        <v>0</v>
      </c>
      <c r="M63" s="77">
        <f t="shared" ref="M63:M64" si="71">K63+L63</f>
        <v>1189.54</v>
      </c>
      <c r="N63" s="78"/>
      <c r="O63" s="59">
        <f t="shared" si="68"/>
        <v>0.79302666666666666</v>
      </c>
      <c r="P63" s="21"/>
      <c r="Q63" s="21"/>
      <c r="R63" s="61">
        <f t="shared" ref="R63:R64" si="72">I63-K63-L63</f>
        <v>310.46000000000004</v>
      </c>
      <c r="S63" s="60">
        <v>2000</v>
      </c>
      <c r="T63" s="60">
        <v>0</v>
      </c>
      <c r="U63" s="60">
        <f t="shared" si="70"/>
        <v>2000</v>
      </c>
      <c r="V63" s="78"/>
      <c r="W63" s="275"/>
      <c r="X63" s="62"/>
      <c r="Y63" s="56"/>
      <c r="Z63" s="49"/>
      <c r="AA63" s="66"/>
      <c r="AB63" s="21"/>
      <c r="AC63" s="21"/>
      <c r="AD63" s="1"/>
      <c r="AE63" s="1"/>
    </row>
    <row r="64" spans="1:31" ht="11.25" customHeight="1">
      <c r="A64" s="49">
        <v>6280002</v>
      </c>
      <c r="B64" s="49"/>
      <c r="C64" s="22" t="s">
        <v>62</v>
      </c>
      <c r="D64" s="21"/>
      <c r="E64" s="21" t="s">
        <v>63</v>
      </c>
      <c r="F64" s="21"/>
      <c r="G64" s="58">
        <v>300</v>
      </c>
      <c r="H64" s="58">
        <v>0</v>
      </c>
      <c r="I64" s="58">
        <f t="shared" si="66"/>
        <v>300</v>
      </c>
      <c r="J64" s="21"/>
      <c r="K64" s="77">
        <v>309.35000000000002</v>
      </c>
      <c r="L64" s="77">
        <v>0</v>
      </c>
      <c r="M64" s="77">
        <f t="shared" si="71"/>
        <v>309.35000000000002</v>
      </c>
      <c r="N64" s="78"/>
      <c r="O64" s="59">
        <f t="shared" si="68"/>
        <v>1.0311666666666668</v>
      </c>
      <c r="P64" s="21"/>
      <c r="Q64" s="21"/>
      <c r="R64" s="61">
        <f t="shared" si="72"/>
        <v>-9.3500000000000227</v>
      </c>
      <c r="S64" s="60">
        <v>400</v>
      </c>
      <c r="T64" s="60">
        <v>0</v>
      </c>
      <c r="U64" s="60">
        <f t="shared" si="70"/>
        <v>400</v>
      </c>
      <c r="V64" s="78"/>
      <c r="W64" s="275"/>
      <c r="X64" s="21"/>
      <c r="Y64" s="56"/>
      <c r="Z64" s="49"/>
      <c r="AA64" s="66"/>
      <c r="AB64" s="21"/>
      <c r="AC64" s="21"/>
      <c r="AD64" s="1"/>
      <c r="AE64" s="1"/>
    </row>
    <row r="65" spans="1:31" ht="11.25" customHeight="1">
      <c r="A65" s="49"/>
      <c r="B65" s="49"/>
      <c r="C65" s="22"/>
      <c r="D65" s="21"/>
      <c r="E65" s="21"/>
      <c r="F65" s="21"/>
      <c r="G65" s="58"/>
      <c r="H65" s="58"/>
      <c r="I65" s="58"/>
      <c r="J65" s="21"/>
      <c r="K65" s="77"/>
      <c r="L65" s="77"/>
      <c r="M65" s="77"/>
      <c r="N65" s="78"/>
      <c r="O65" s="59"/>
      <c r="P65" s="21"/>
      <c r="Q65" s="21"/>
      <c r="R65" s="61"/>
      <c r="S65" s="60"/>
      <c r="T65" s="60"/>
      <c r="U65" s="60"/>
      <c r="V65" s="78"/>
      <c r="W65" s="275"/>
      <c r="X65" s="21"/>
      <c r="Y65" s="56"/>
      <c r="Z65" s="49"/>
      <c r="AA65" s="66"/>
      <c r="AB65" s="21"/>
      <c r="AC65" s="21"/>
      <c r="AD65" s="1"/>
      <c r="AE65" s="1"/>
    </row>
    <row r="66" spans="1:31" ht="11.25" customHeight="1">
      <c r="A66" s="49"/>
      <c r="B66" s="49"/>
      <c r="C66" s="22">
        <v>222</v>
      </c>
      <c r="D66" s="21"/>
      <c r="E66" s="50" t="s">
        <v>64</v>
      </c>
      <c r="F66" s="21"/>
      <c r="G66" s="51">
        <f t="shared" ref="G66:H66" si="73">SUM(G67:G68)</f>
        <v>2400</v>
      </c>
      <c r="H66" s="51">
        <f t="shared" si="73"/>
        <v>0</v>
      </c>
      <c r="I66" s="51">
        <f t="shared" ref="I66:I68" si="74">SUM(G66:H66)</f>
        <v>2400</v>
      </c>
      <c r="J66" s="21"/>
      <c r="K66" s="82">
        <f t="shared" ref="K66:L66" si="75">SUM(K67:K68)</f>
        <v>1201.03</v>
      </c>
      <c r="L66" s="82">
        <f t="shared" si="75"/>
        <v>0</v>
      </c>
      <c r="M66" s="82">
        <f t="shared" ref="M66:M68" si="76">L66+K66</f>
        <v>1201.03</v>
      </c>
      <c r="N66" s="78"/>
      <c r="O66" s="53">
        <f t="shared" ref="O66:O68" si="77">M66/I66</f>
        <v>0.5004291666666667</v>
      </c>
      <c r="P66" s="21"/>
      <c r="Q66" s="21"/>
      <c r="R66" s="54">
        <f t="shared" ref="R66:T66" si="78">SUM(R67:R68)</f>
        <v>1198.97</v>
      </c>
      <c r="S66" s="55">
        <f t="shared" si="78"/>
        <v>2400</v>
      </c>
      <c r="T66" s="55">
        <f t="shared" si="78"/>
        <v>0</v>
      </c>
      <c r="U66" s="55">
        <f t="shared" ref="U66:U68" si="79">SUM(S66:T66)</f>
        <v>2400</v>
      </c>
      <c r="V66" s="78"/>
      <c r="W66" s="275"/>
      <c r="X66" s="21"/>
      <c r="Y66" s="56"/>
      <c r="Z66" s="49"/>
      <c r="AA66" s="66"/>
      <c r="AB66" s="21"/>
      <c r="AC66" s="21"/>
      <c r="AD66" s="1"/>
      <c r="AE66" s="1"/>
    </row>
    <row r="67" spans="1:31" ht="11.25" customHeight="1">
      <c r="A67" s="49">
        <v>6290006</v>
      </c>
      <c r="B67" s="49"/>
      <c r="C67" s="22" t="s">
        <v>65</v>
      </c>
      <c r="D67" s="21"/>
      <c r="E67" s="21" t="s">
        <v>66</v>
      </c>
      <c r="F67" s="21"/>
      <c r="G67" s="58">
        <v>2300</v>
      </c>
      <c r="H67" s="58">
        <v>0</v>
      </c>
      <c r="I67" s="58">
        <f t="shared" si="74"/>
        <v>2300</v>
      </c>
      <c r="J67" s="21"/>
      <c r="K67" s="77">
        <v>1172.26</v>
      </c>
      <c r="L67" s="77">
        <v>0</v>
      </c>
      <c r="M67" s="77">
        <f t="shared" si="76"/>
        <v>1172.26</v>
      </c>
      <c r="N67" s="78"/>
      <c r="O67" s="59">
        <f t="shared" si="77"/>
        <v>0.50967826086956525</v>
      </c>
      <c r="P67" s="21"/>
      <c r="Q67" s="21"/>
      <c r="R67" s="61">
        <f t="shared" ref="R67:R68" si="80">I67-K67-L67</f>
        <v>1127.74</v>
      </c>
      <c r="S67" s="60">
        <v>2300</v>
      </c>
      <c r="T67" s="60">
        <v>0</v>
      </c>
      <c r="U67" s="60">
        <f t="shared" si="79"/>
        <v>2300</v>
      </c>
      <c r="V67" s="78"/>
      <c r="W67" s="275"/>
      <c r="X67" s="21"/>
      <c r="Y67" s="56"/>
      <c r="Z67" s="49"/>
      <c r="AA67" s="66"/>
      <c r="AB67" s="21"/>
      <c r="AC67" s="21"/>
      <c r="AD67" s="1"/>
      <c r="AE67" s="1"/>
    </row>
    <row r="68" spans="1:31" ht="14.25" customHeight="1">
      <c r="A68" s="49">
        <v>6290007</v>
      </c>
      <c r="B68" s="49"/>
      <c r="C68" s="22" t="s">
        <v>67</v>
      </c>
      <c r="D68" s="21"/>
      <c r="E68" s="21" t="s">
        <v>68</v>
      </c>
      <c r="F68" s="21"/>
      <c r="G68" s="58">
        <v>100</v>
      </c>
      <c r="H68" s="58">
        <v>0</v>
      </c>
      <c r="I68" s="58">
        <f t="shared" si="74"/>
        <v>100</v>
      </c>
      <c r="J68" s="21"/>
      <c r="K68" s="77">
        <v>28.77</v>
      </c>
      <c r="L68" s="77">
        <v>0</v>
      </c>
      <c r="M68" s="77">
        <f t="shared" si="76"/>
        <v>28.77</v>
      </c>
      <c r="N68" s="78"/>
      <c r="O68" s="59">
        <f t="shared" si="77"/>
        <v>0.28770000000000001</v>
      </c>
      <c r="P68" s="21"/>
      <c r="Q68" s="21"/>
      <c r="R68" s="61">
        <f t="shared" si="80"/>
        <v>71.23</v>
      </c>
      <c r="S68" s="60">
        <v>100</v>
      </c>
      <c r="T68" s="60">
        <v>0</v>
      </c>
      <c r="U68" s="60">
        <f t="shared" si="79"/>
        <v>100</v>
      </c>
      <c r="V68" s="78"/>
      <c r="W68" s="275" t="s">
        <v>413</v>
      </c>
      <c r="X68" s="21"/>
      <c r="Y68" s="56"/>
      <c r="Z68" s="49"/>
      <c r="AA68" s="66"/>
      <c r="AB68" s="21"/>
      <c r="AC68" s="21"/>
      <c r="AD68" s="1"/>
      <c r="AE68" s="1"/>
    </row>
    <row r="69" spans="1:31" ht="9.75" customHeight="1">
      <c r="A69" s="49"/>
      <c r="B69" s="49"/>
      <c r="C69" s="22"/>
      <c r="D69" s="21"/>
      <c r="E69" s="21"/>
      <c r="F69" s="21"/>
      <c r="G69" s="23"/>
      <c r="H69" s="23"/>
      <c r="I69" s="23"/>
      <c r="J69" s="21"/>
      <c r="K69" s="23"/>
      <c r="L69" s="23"/>
      <c r="M69" s="23"/>
      <c r="N69" s="21"/>
      <c r="O69" s="24"/>
      <c r="P69" s="21"/>
      <c r="Q69" s="21"/>
      <c r="R69" s="23"/>
      <c r="S69" s="23"/>
      <c r="T69" s="23"/>
      <c r="U69" s="23"/>
      <c r="V69" s="21"/>
      <c r="W69" s="275"/>
      <c r="X69" s="21"/>
      <c r="Y69" s="56"/>
      <c r="Z69" s="49"/>
      <c r="AA69" s="66"/>
      <c r="AB69" s="21"/>
      <c r="AC69" s="21"/>
      <c r="AD69" s="1"/>
      <c r="AE69" s="1"/>
    </row>
    <row r="70" spans="1:31" ht="87.75" customHeight="1">
      <c r="A70" s="49"/>
      <c r="B70" s="49"/>
      <c r="C70" s="22"/>
      <c r="D70" s="21"/>
      <c r="E70" s="21"/>
      <c r="F70" s="21"/>
      <c r="G70" s="23"/>
      <c r="H70" s="23"/>
      <c r="I70" s="23"/>
      <c r="J70" s="21"/>
      <c r="K70" s="23"/>
      <c r="L70" s="23"/>
      <c r="M70" s="23"/>
      <c r="N70" s="21"/>
      <c r="O70" s="24"/>
      <c r="P70" s="21"/>
      <c r="Q70" s="21"/>
      <c r="R70" s="23"/>
      <c r="S70" s="23"/>
      <c r="T70" s="23"/>
      <c r="U70" s="23"/>
      <c r="V70" s="21"/>
      <c r="W70" s="275"/>
      <c r="X70" s="21"/>
      <c r="Y70" s="49"/>
      <c r="Z70" s="49"/>
      <c r="AA70" s="49"/>
      <c r="AB70" s="21"/>
      <c r="AC70" s="21"/>
      <c r="AD70" s="1"/>
      <c r="AE70" s="1"/>
    </row>
    <row r="71" spans="1:31" ht="15.75" customHeight="1">
      <c r="A71" s="49"/>
      <c r="B71" s="49"/>
      <c r="C71" s="22"/>
      <c r="D71" s="21"/>
      <c r="E71" s="21"/>
      <c r="F71" s="21"/>
      <c r="G71" s="23"/>
      <c r="H71" s="23"/>
      <c r="I71" s="23"/>
      <c r="J71" s="21"/>
      <c r="K71" s="23"/>
      <c r="L71" s="23"/>
      <c r="M71" s="23"/>
      <c r="N71" s="21"/>
      <c r="O71" s="24"/>
      <c r="P71" s="21"/>
      <c r="Q71" s="21"/>
      <c r="R71" s="4" t="s">
        <v>0</v>
      </c>
      <c r="S71" s="23"/>
      <c r="T71" s="23"/>
      <c r="U71" s="4" t="s">
        <v>0</v>
      </c>
      <c r="V71" s="21"/>
      <c r="W71" s="275"/>
      <c r="X71" s="21"/>
      <c r="Y71" s="49"/>
      <c r="Z71" s="49"/>
      <c r="AA71" s="49"/>
      <c r="AB71" s="21"/>
      <c r="AC71" s="21"/>
      <c r="AD71" s="1"/>
      <c r="AE71" s="1"/>
    </row>
    <row r="72" spans="1:31" ht="7.5" customHeight="1">
      <c r="A72" s="49"/>
      <c r="B72" s="49"/>
      <c r="C72" s="22"/>
      <c r="D72" s="21"/>
      <c r="E72" s="21"/>
      <c r="F72" s="21"/>
      <c r="G72" s="23"/>
      <c r="H72" s="23"/>
      <c r="I72" s="23"/>
      <c r="J72" s="21"/>
      <c r="K72" s="23"/>
      <c r="L72" s="23"/>
      <c r="M72" s="23"/>
      <c r="N72" s="21"/>
      <c r="O72" s="24"/>
      <c r="P72" s="21"/>
      <c r="Q72" s="21"/>
      <c r="R72" s="4"/>
      <c r="S72" s="23"/>
      <c r="T72" s="23"/>
      <c r="U72" s="23"/>
      <c r="V72" s="21"/>
      <c r="W72" s="275"/>
      <c r="X72" s="21"/>
      <c r="Y72" s="49"/>
      <c r="Z72" s="49"/>
      <c r="AA72" s="49"/>
      <c r="AB72" s="21"/>
      <c r="AC72" s="21"/>
      <c r="AD72" s="1"/>
      <c r="AE72" s="1"/>
    </row>
    <row r="73" spans="1:31" ht="12.75" customHeight="1" thickBot="1">
      <c r="A73" s="49"/>
      <c r="B73" s="49"/>
      <c r="C73" s="22"/>
      <c r="D73" s="21"/>
      <c r="E73" s="21"/>
      <c r="F73" s="21"/>
      <c r="G73" s="23"/>
      <c r="H73" s="23"/>
      <c r="I73" s="23"/>
      <c r="J73" s="21"/>
      <c r="K73" s="23"/>
      <c r="L73" s="23"/>
      <c r="M73" s="23"/>
      <c r="N73" s="21"/>
      <c r="O73" s="24"/>
      <c r="P73" s="21"/>
      <c r="Q73" s="21"/>
      <c r="R73" s="23"/>
      <c r="S73" s="23"/>
      <c r="T73" s="23"/>
      <c r="U73" s="23"/>
      <c r="V73" s="21"/>
      <c r="W73" s="275"/>
      <c r="X73" s="21"/>
      <c r="Y73" s="49"/>
      <c r="Z73" s="49"/>
      <c r="AA73" s="49"/>
      <c r="AB73" s="21"/>
      <c r="AC73" s="21"/>
      <c r="AD73" s="1"/>
      <c r="AE73" s="1"/>
    </row>
    <row r="74" spans="1:31" ht="12.75" customHeight="1">
      <c r="A74" s="396" t="s">
        <v>1</v>
      </c>
      <c r="B74" s="10"/>
      <c r="C74" s="422" t="s">
        <v>2</v>
      </c>
      <c r="D74" s="11"/>
      <c r="E74" s="423" t="s">
        <v>69</v>
      </c>
      <c r="F74" s="11"/>
      <c r="G74" s="376" t="s">
        <v>233</v>
      </c>
      <c r="H74" s="377"/>
      <c r="I74" s="378"/>
      <c r="J74" s="11"/>
      <c r="K74" s="400" t="s">
        <v>234</v>
      </c>
      <c r="L74" s="377"/>
      <c r="M74" s="378"/>
      <c r="N74" s="11"/>
      <c r="O74" s="12" t="s">
        <v>5</v>
      </c>
      <c r="P74" s="11"/>
      <c r="Q74" s="11"/>
      <c r="R74" s="422" t="s">
        <v>37</v>
      </c>
      <c r="S74" s="421" t="s">
        <v>4</v>
      </c>
      <c r="T74" s="377"/>
      <c r="U74" s="378"/>
      <c r="V74" s="11"/>
      <c r="W74" s="299"/>
      <c r="X74" s="13"/>
      <c r="Y74" s="49"/>
      <c r="Z74" s="49"/>
      <c r="AA74" s="49"/>
      <c r="AB74" s="14"/>
      <c r="AC74" s="14"/>
      <c r="AD74" s="15"/>
      <c r="AE74" s="15"/>
    </row>
    <row r="75" spans="1:31" ht="24.75" customHeight="1" thickBot="1">
      <c r="A75" s="397"/>
      <c r="B75" s="10"/>
      <c r="C75" s="410"/>
      <c r="D75" s="14"/>
      <c r="E75" s="424"/>
      <c r="F75" s="14"/>
      <c r="G75" s="379"/>
      <c r="H75" s="380"/>
      <c r="I75" s="381"/>
      <c r="J75" s="14"/>
      <c r="K75" s="379"/>
      <c r="L75" s="380"/>
      <c r="M75" s="381"/>
      <c r="N75" s="14"/>
      <c r="O75" s="17" t="s">
        <v>237</v>
      </c>
      <c r="P75" s="14"/>
      <c r="Q75" s="14"/>
      <c r="R75" s="410"/>
      <c r="S75" s="379"/>
      <c r="T75" s="380"/>
      <c r="U75" s="381"/>
      <c r="V75" s="14"/>
      <c r="W75" s="297"/>
      <c r="X75" s="14"/>
      <c r="Y75" s="49"/>
      <c r="Z75" s="49"/>
      <c r="AA75" s="49"/>
      <c r="AB75" s="14"/>
      <c r="AC75" s="14"/>
      <c r="AD75" s="15"/>
      <c r="AE75" s="15"/>
    </row>
    <row r="76" spans="1:31" ht="13.5" customHeight="1">
      <c r="A76" s="21"/>
      <c r="B76" s="21"/>
      <c r="C76" s="22"/>
      <c r="D76" s="21"/>
      <c r="E76" s="21"/>
      <c r="F76" s="21"/>
      <c r="G76" s="23" t="s">
        <v>6</v>
      </c>
      <c r="H76" s="23" t="s">
        <v>7</v>
      </c>
      <c r="I76" s="23" t="s">
        <v>8</v>
      </c>
      <c r="J76" s="21"/>
      <c r="K76" s="23" t="s">
        <v>6</v>
      </c>
      <c r="L76" s="23" t="s">
        <v>7</v>
      </c>
      <c r="M76" s="23" t="s">
        <v>8</v>
      </c>
      <c r="N76" s="21"/>
      <c r="O76" s="24"/>
      <c r="P76" s="21"/>
      <c r="Q76" s="21"/>
      <c r="R76" s="23"/>
      <c r="S76" s="23" t="s">
        <v>6</v>
      </c>
      <c r="T76" s="23" t="s">
        <v>7</v>
      </c>
      <c r="U76" s="23" t="s">
        <v>8</v>
      </c>
      <c r="V76" s="21"/>
      <c r="W76" s="275"/>
      <c r="X76" s="21"/>
      <c r="Y76" s="49"/>
      <c r="Z76" s="49"/>
      <c r="AA76" s="49"/>
      <c r="AB76" s="21"/>
      <c r="AC76" s="21"/>
      <c r="AD76" s="25"/>
      <c r="AE76" s="25"/>
    </row>
    <row r="77" spans="1:31" ht="4.5" customHeight="1">
      <c r="A77" s="21"/>
      <c r="B77" s="21"/>
      <c r="C77" s="22"/>
      <c r="D77" s="21"/>
      <c r="E77" s="21"/>
      <c r="F77" s="21"/>
      <c r="G77" s="23"/>
      <c r="H77" s="23"/>
      <c r="I77" s="23"/>
      <c r="J77" s="21"/>
      <c r="K77" s="23"/>
      <c r="L77" s="23"/>
      <c r="M77" s="23"/>
      <c r="N77" s="21"/>
      <c r="O77" s="24"/>
      <c r="P77" s="21"/>
      <c r="Q77" s="21"/>
      <c r="R77" s="23"/>
      <c r="S77" s="23"/>
      <c r="T77" s="23"/>
      <c r="U77" s="23"/>
      <c r="V77" s="21"/>
      <c r="W77" s="275"/>
      <c r="X77" s="21"/>
      <c r="Y77" s="49"/>
      <c r="Z77" s="49"/>
      <c r="AA77" s="49"/>
      <c r="AB77" s="21"/>
      <c r="AC77" s="21"/>
      <c r="AD77" s="25"/>
      <c r="AE77" s="25"/>
    </row>
    <row r="78" spans="1:31" ht="11.25" customHeight="1">
      <c r="A78" s="49"/>
      <c r="B78" s="49"/>
      <c r="C78" s="22">
        <v>224</v>
      </c>
      <c r="D78" s="21"/>
      <c r="E78" s="50" t="s">
        <v>70</v>
      </c>
      <c r="F78" s="21"/>
      <c r="G78" s="51">
        <f t="shared" ref="G78:H78" si="81">SUM(G79:G80)</f>
        <v>1330</v>
      </c>
      <c r="H78" s="51">
        <f t="shared" si="81"/>
        <v>0</v>
      </c>
      <c r="I78" s="51">
        <f t="shared" ref="I78:I80" si="82">SUM(G78:H78)</f>
        <v>1330</v>
      </c>
      <c r="J78" s="21"/>
      <c r="K78" s="52">
        <f t="shared" ref="K78:M78" si="83">SUM(K79:K80)</f>
        <v>419.1</v>
      </c>
      <c r="L78" s="52">
        <f t="shared" si="83"/>
        <v>0</v>
      </c>
      <c r="M78" s="52">
        <f t="shared" si="83"/>
        <v>419.1</v>
      </c>
      <c r="N78" s="21"/>
      <c r="O78" s="53">
        <f>SUM(O79:O80)</f>
        <v>0.99785714285714289</v>
      </c>
      <c r="P78" s="21"/>
      <c r="Q78" s="21"/>
      <c r="R78" s="54">
        <f t="shared" ref="R78:T78" si="84">SUM(R79:R80)</f>
        <v>910.9</v>
      </c>
      <c r="S78" s="55">
        <f t="shared" si="84"/>
        <v>1330</v>
      </c>
      <c r="T78" s="55">
        <f t="shared" si="84"/>
        <v>0</v>
      </c>
      <c r="U78" s="55">
        <f t="shared" ref="U78:U80" si="85">SUM(S78:T78)</f>
        <v>1330</v>
      </c>
      <c r="V78" s="21"/>
      <c r="W78" s="275"/>
      <c r="X78" s="21"/>
      <c r="Y78" s="56"/>
      <c r="Z78" s="49"/>
      <c r="AA78" s="66"/>
      <c r="AB78" s="21"/>
      <c r="AC78" s="21"/>
      <c r="AD78" s="1"/>
      <c r="AE78" s="1"/>
    </row>
    <row r="79" spans="1:31" ht="11.25" customHeight="1">
      <c r="A79" s="49">
        <v>6250002</v>
      </c>
      <c r="B79" s="49"/>
      <c r="C79" s="22" t="s">
        <v>71</v>
      </c>
      <c r="D79" s="21"/>
      <c r="E79" s="21" t="s">
        <v>72</v>
      </c>
      <c r="F79" s="21"/>
      <c r="G79" s="58">
        <v>420</v>
      </c>
      <c r="H79" s="58">
        <v>0</v>
      </c>
      <c r="I79" s="58">
        <f t="shared" si="82"/>
        <v>420</v>
      </c>
      <c r="J79" s="21"/>
      <c r="K79" s="23">
        <v>419.1</v>
      </c>
      <c r="L79" s="23">
        <v>0</v>
      </c>
      <c r="M79" s="23">
        <f t="shared" ref="M79:M80" si="86">L79+K79</f>
        <v>419.1</v>
      </c>
      <c r="N79" s="21"/>
      <c r="O79" s="59">
        <f t="shared" ref="O79:O80" si="87">+M79/I79</f>
        <v>0.99785714285714289</v>
      </c>
      <c r="P79" s="21"/>
      <c r="Q79" s="21"/>
      <c r="R79" s="61">
        <f t="shared" ref="R79:R80" si="88">I79-K79-L79</f>
        <v>0.89999999999997726</v>
      </c>
      <c r="S79" s="60">
        <v>420</v>
      </c>
      <c r="T79" s="60">
        <v>0</v>
      </c>
      <c r="U79" s="60">
        <f t="shared" si="85"/>
        <v>420</v>
      </c>
      <c r="V79" s="21"/>
      <c r="W79" s="275" t="s">
        <v>414</v>
      </c>
      <c r="X79" s="21"/>
      <c r="Y79" s="57"/>
      <c r="Z79" s="49"/>
      <c r="AA79" s="66"/>
      <c r="AB79" s="21"/>
      <c r="AC79" s="21"/>
      <c r="AD79" s="1"/>
      <c r="AE79" s="1"/>
    </row>
    <row r="80" spans="1:31" ht="11.25" customHeight="1">
      <c r="A80" s="49">
        <v>6250001</v>
      </c>
      <c r="B80" s="49"/>
      <c r="C80" s="22" t="s">
        <v>73</v>
      </c>
      <c r="D80" s="21"/>
      <c r="E80" s="21" t="s">
        <v>74</v>
      </c>
      <c r="F80" s="21"/>
      <c r="G80" s="58">
        <v>910</v>
      </c>
      <c r="H80" s="58">
        <v>0</v>
      </c>
      <c r="I80" s="58">
        <f t="shared" si="82"/>
        <v>910</v>
      </c>
      <c r="J80" s="21"/>
      <c r="K80" s="23">
        <v>0</v>
      </c>
      <c r="L80" s="23">
        <v>0</v>
      </c>
      <c r="M80" s="23">
        <f t="shared" si="86"/>
        <v>0</v>
      </c>
      <c r="N80" s="21"/>
      <c r="O80" s="59">
        <f t="shared" si="87"/>
        <v>0</v>
      </c>
      <c r="P80" s="21"/>
      <c r="Q80" s="21"/>
      <c r="R80" s="61">
        <f t="shared" si="88"/>
        <v>910</v>
      </c>
      <c r="S80" s="60">
        <v>910</v>
      </c>
      <c r="T80" s="60">
        <v>0</v>
      </c>
      <c r="U80" s="60">
        <f t="shared" si="85"/>
        <v>910</v>
      </c>
      <c r="V80" s="21"/>
      <c r="W80" s="275" t="s">
        <v>415</v>
      </c>
      <c r="X80" s="21"/>
      <c r="Y80" s="57"/>
      <c r="Z80" s="49"/>
      <c r="AA80" s="66"/>
      <c r="AB80" s="21"/>
      <c r="AC80" s="21"/>
      <c r="AD80" s="1"/>
      <c r="AE80" s="1"/>
    </row>
    <row r="81" spans="1:31" ht="11.25" customHeight="1">
      <c r="A81" s="49"/>
      <c r="B81" s="49"/>
      <c r="C81" s="22"/>
      <c r="D81" s="21"/>
      <c r="E81" s="21"/>
      <c r="F81" s="21"/>
      <c r="G81" s="58"/>
      <c r="H81" s="58"/>
      <c r="I81" s="58"/>
      <c r="J81" s="21"/>
      <c r="K81" s="23"/>
      <c r="L81" s="23"/>
      <c r="M81" s="23"/>
      <c r="N81" s="21"/>
      <c r="O81" s="59"/>
      <c r="P81" s="21"/>
      <c r="Q81" s="21"/>
      <c r="R81" s="61"/>
      <c r="S81" s="60"/>
      <c r="T81" s="60"/>
      <c r="U81" s="60"/>
      <c r="V81" s="21"/>
      <c r="W81" s="275"/>
      <c r="X81" s="21"/>
      <c r="Y81" s="56"/>
      <c r="Z81" s="49"/>
      <c r="AA81" s="66"/>
      <c r="AB81" s="21"/>
      <c r="AC81" s="21"/>
      <c r="AD81" s="1"/>
      <c r="AE81" s="1"/>
    </row>
    <row r="82" spans="1:31" ht="11.25" customHeight="1">
      <c r="A82" s="49"/>
      <c r="B82" s="49"/>
      <c r="C82" s="22">
        <v>225</v>
      </c>
      <c r="D82" s="21"/>
      <c r="E82" s="50" t="s">
        <v>75</v>
      </c>
      <c r="F82" s="21"/>
      <c r="G82" s="51">
        <f t="shared" ref="G82:H82" si="89">SUM(G83)</f>
        <v>1300</v>
      </c>
      <c r="H82" s="51">
        <f t="shared" si="89"/>
        <v>0</v>
      </c>
      <c r="I82" s="51">
        <f t="shared" ref="I82:I83" si="90">SUM(G82:H82)</f>
        <v>1300</v>
      </c>
      <c r="J82" s="21"/>
      <c r="K82" s="52">
        <f t="shared" ref="K82:L82" si="91">SUM(K83)</f>
        <v>915</v>
      </c>
      <c r="L82" s="52">
        <f t="shared" si="91"/>
        <v>0</v>
      </c>
      <c r="M82" s="52">
        <f>K82+L82</f>
        <v>915</v>
      </c>
      <c r="N82" s="21"/>
      <c r="O82" s="53">
        <f t="shared" ref="O82:O83" si="92">M82/I82</f>
        <v>0.7038461538461539</v>
      </c>
      <c r="P82" s="21"/>
      <c r="Q82" s="21"/>
      <c r="R82" s="54">
        <f t="shared" ref="R82:R83" si="93">I82-K82-L82</f>
        <v>385</v>
      </c>
      <c r="S82" s="55">
        <f t="shared" ref="S82:T82" si="94">SUM(S83)</f>
        <v>1300</v>
      </c>
      <c r="T82" s="55">
        <f t="shared" si="94"/>
        <v>0</v>
      </c>
      <c r="U82" s="55">
        <f t="shared" ref="U82:U83" si="95">SUM(S82:T82)</f>
        <v>1300</v>
      </c>
      <c r="V82" s="21"/>
      <c r="W82" s="275"/>
      <c r="X82" s="21"/>
      <c r="Y82" s="56"/>
      <c r="Z82" s="49"/>
      <c r="AA82" s="66"/>
      <c r="AB82" s="21"/>
      <c r="AC82" s="21"/>
      <c r="AD82" s="1"/>
      <c r="AE82" s="1"/>
    </row>
    <row r="83" spans="1:31" ht="11.25" customHeight="1">
      <c r="A83" s="49">
        <v>6310001</v>
      </c>
      <c r="B83" s="49"/>
      <c r="C83" s="22" t="s">
        <v>76</v>
      </c>
      <c r="D83" s="21"/>
      <c r="E83" s="21" t="s">
        <v>77</v>
      </c>
      <c r="F83" s="21"/>
      <c r="G83" s="58">
        <v>1300</v>
      </c>
      <c r="H83" s="58">
        <v>0</v>
      </c>
      <c r="I83" s="58">
        <f t="shared" si="90"/>
        <v>1300</v>
      </c>
      <c r="J83" s="21"/>
      <c r="K83" s="23">
        <v>915</v>
      </c>
      <c r="L83" s="23">
        <v>0</v>
      </c>
      <c r="M83" s="23">
        <f>+K83+L83</f>
        <v>915</v>
      </c>
      <c r="N83" s="21"/>
      <c r="O83" s="53">
        <f t="shared" si="92"/>
        <v>0.7038461538461539</v>
      </c>
      <c r="P83" s="21"/>
      <c r="Q83" s="21"/>
      <c r="R83" s="61">
        <f t="shared" si="93"/>
        <v>385</v>
      </c>
      <c r="S83" s="60">
        <v>1300</v>
      </c>
      <c r="T83" s="60">
        <v>0</v>
      </c>
      <c r="U83" s="60">
        <f t="shared" si="95"/>
        <v>1300</v>
      </c>
      <c r="V83" s="21"/>
      <c r="W83" s="275" t="s">
        <v>416</v>
      </c>
      <c r="X83" s="21"/>
      <c r="Y83" s="57"/>
      <c r="Z83" s="49"/>
      <c r="AA83" s="66"/>
      <c r="AB83" s="21"/>
      <c r="AC83" s="21"/>
      <c r="AD83" s="1"/>
      <c r="AE83" s="1"/>
    </row>
    <row r="84" spans="1:31" ht="11.25" customHeight="1">
      <c r="A84" s="49"/>
      <c r="B84" s="49"/>
      <c r="C84" s="22"/>
      <c r="D84" s="21"/>
      <c r="E84" s="21"/>
      <c r="F84" s="21"/>
      <c r="G84" s="58"/>
      <c r="H84" s="58"/>
      <c r="I84" s="58"/>
      <c r="J84" s="21"/>
      <c r="K84" s="23"/>
      <c r="L84" s="23"/>
      <c r="M84" s="23"/>
      <c r="N84" s="21"/>
      <c r="O84" s="59"/>
      <c r="P84" s="21"/>
      <c r="Q84" s="21"/>
      <c r="R84" s="61"/>
      <c r="S84" s="60"/>
      <c r="T84" s="60"/>
      <c r="U84" s="60"/>
      <c r="V84" s="21"/>
      <c r="W84" s="275"/>
      <c r="X84" s="21"/>
      <c r="Y84" s="56"/>
      <c r="Z84" s="49"/>
      <c r="AA84" s="66"/>
      <c r="AB84" s="21"/>
      <c r="AC84" s="21"/>
      <c r="AD84" s="1"/>
      <c r="AE84" s="1"/>
    </row>
    <row r="85" spans="1:31" ht="11.25" customHeight="1">
      <c r="A85" s="49"/>
      <c r="B85" s="49"/>
      <c r="C85" s="22">
        <v>226</v>
      </c>
      <c r="D85" s="21"/>
      <c r="E85" s="50" t="s">
        <v>78</v>
      </c>
      <c r="F85" s="21"/>
      <c r="G85" s="51">
        <f t="shared" ref="G85:I85" si="96">SUM(G86:G97)</f>
        <v>22700</v>
      </c>
      <c r="H85" s="51">
        <f t="shared" si="96"/>
        <v>19800</v>
      </c>
      <c r="I85" s="51">
        <f t="shared" si="96"/>
        <v>42500</v>
      </c>
      <c r="J85" s="21"/>
      <c r="K85" s="52">
        <f t="shared" ref="K85:M85" si="97">SUM(K86:K97)</f>
        <v>8966.2800000000007</v>
      </c>
      <c r="L85" s="52">
        <f t="shared" si="97"/>
        <v>6463.42</v>
      </c>
      <c r="M85" s="52">
        <f t="shared" si="97"/>
        <v>15429.7</v>
      </c>
      <c r="N85" s="21"/>
      <c r="O85" s="53">
        <f t="shared" ref="O85:O97" si="98">M85/I85</f>
        <v>0.36305176470588235</v>
      </c>
      <c r="P85" s="21"/>
      <c r="Q85" s="21"/>
      <c r="R85" s="54">
        <f t="shared" ref="R85:U85" si="99">SUM(R86:R97)</f>
        <v>27070.3</v>
      </c>
      <c r="S85" s="55">
        <f t="shared" si="99"/>
        <v>22250</v>
      </c>
      <c r="T85" s="55">
        <f t="shared" si="99"/>
        <v>12000</v>
      </c>
      <c r="U85" s="55">
        <f t="shared" si="99"/>
        <v>34250</v>
      </c>
      <c r="V85" s="21"/>
      <c r="W85" s="275"/>
      <c r="X85" s="21"/>
      <c r="Y85" s="56"/>
      <c r="Z85" s="49"/>
      <c r="AA85" s="66"/>
      <c r="AB85" s="21"/>
      <c r="AC85" s="21"/>
      <c r="AD85" s="1"/>
      <c r="AE85" s="1"/>
    </row>
    <row r="86" spans="1:31" ht="11.25" customHeight="1">
      <c r="A86" s="49">
        <v>6260001</v>
      </c>
      <c r="B86" s="49"/>
      <c r="C86" s="22" t="s">
        <v>79</v>
      </c>
      <c r="D86" s="21"/>
      <c r="E86" s="21" t="s">
        <v>80</v>
      </c>
      <c r="F86" s="21"/>
      <c r="G86" s="58">
        <v>400</v>
      </c>
      <c r="H86" s="58">
        <v>0</v>
      </c>
      <c r="I86" s="58">
        <f t="shared" ref="I86:I97" si="100">SUM(G86:H86)</f>
        <v>400</v>
      </c>
      <c r="J86" s="21"/>
      <c r="K86" s="23">
        <v>560.04</v>
      </c>
      <c r="L86" s="23">
        <v>0</v>
      </c>
      <c r="M86" s="23">
        <f t="shared" ref="M86:M92" si="101">L86+K86</f>
        <v>560.04</v>
      </c>
      <c r="N86" s="21"/>
      <c r="O86" s="59">
        <f t="shared" si="98"/>
        <v>1.4000999999999999</v>
      </c>
      <c r="P86" s="21"/>
      <c r="Q86" s="21"/>
      <c r="R86" s="61">
        <f t="shared" ref="R86:R97" si="102">I86-K86-L86</f>
        <v>-160.03999999999996</v>
      </c>
      <c r="S86" s="60">
        <v>750</v>
      </c>
      <c r="T86" s="60">
        <v>0</v>
      </c>
      <c r="U86" s="60">
        <f t="shared" ref="U86:U97" si="103">SUM(S86:T86)</f>
        <v>750</v>
      </c>
      <c r="V86" s="21"/>
      <c r="W86" s="275" t="s">
        <v>283</v>
      </c>
      <c r="X86" s="21"/>
      <c r="Y86" s="57"/>
      <c r="Z86" s="49"/>
      <c r="AA86" s="66"/>
      <c r="AB86" s="21"/>
      <c r="AC86" s="21"/>
      <c r="AD86" s="1"/>
      <c r="AE86" s="1"/>
    </row>
    <row r="87" spans="1:31" ht="12" customHeight="1">
      <c r="A87" s="49">
        <v>6270001</v>
      </c>
      <c r="B87" s="49"/>
      <c r="C87" s="22" t="s">
        <v>81</v>
      </c>
      <c r="D87" s="21"/>
      <c r="E87" s="21" t="s">
        <v>82</v>
      </c>
      <c r="F87" s="21"/>
      <c r="G87" s="58">
        <v>0</v>
      </c>
      <c r="H87" s="58">
        <v>800</v>
      </c>
      <c r="I87" s="58">
        <f t="shared" si="100"/>
        <v>800</v>
      </c>
      <c r="J87" s="21"/>
      <c r="K87" s="23">
        <v>0</v>
      </c>
      <c r="L87" s="23">
        <v>1100</v>
      </c>
      <c r="M87" s="23">
        <f t="shared" si="101"/>
        <v>1100</v>
      </c>
      <c r="N87" s="21"/>
      <c r="O87" s="59">
        <f t="shared" si="98"/>
        <v>1.375</v>
      </c>
      <c r="P87" s="21"/>
      <c r="Q87" s="21"/>
      <c r="R87" s="61">
        <f t="shared" si="102"/>
        <v>-300</v>
      </c>
      <c r="S87" s="60">
        <v>0</v>
      </c>
      <c r="T87" s="60">
        <v>0</v>
      </c>
      <c r="U87" s="60">
        <f t="shared" si="103"/>
        <v>0</v>
      </c>
      <c r="V87" s="21"/>
      <c r="W87" s="275" t="s">
        <v>417</v>
      </c>
      <c r="X87" s="21"/>
      <c r="Y87" s="56"/>
      <c r="Z87" s="49"/>
      <c r="AA87" s="66"/>
      <c r="AB87" s="21"/>
      <c r="AC87" s="21"/>
      <c r="AD87" s="1"/>
      <c r="AE87" s="1"/>
    </row>
    <row r="88" spans="1:31" ht="11.25" customHeight="1">
      <c r="A88" s="49">
        <v>6270002</v>
      </c>
      <c r="B88" s="49"/>
      <c r="C88" s="22" t="s">
        <v>83</v>
      </c>
      <c r="D88" s="21"/>
      <c r="E88" s="21" t="s">
        <v>84</v>
      </c>
      <c r="F88" s="21"/>
      <c r="G88" s="58">
        <v>50</v>
      </c>
      <c r="H88" s="58">
        <v>0</v>
      </c>
      <c r="I88" s="58">
        <f t="shared" si="100"/>
        <v>50</v>
      </c>
      <c r="J88" s="21"/>
      <c r="K88" s="23">
        <v>0</v>
      </c>
      <c r="L88" s="23">
        <v>0</v>
      </c>
      <c r="M88" s="23">
        <f t="shared" si="101"/>
        <v>0</v>
      </c>
      <c r="N88" s="21"/>
      <c r="O88" s="59">
        <f t="shared" si="98"/>
        <v>0</v>
      </c>
      <c r="P88" s="21"/>
      <c r="Q88" s="21"/>
      <c r="R88" s="61">
        <f t="shared" si="102"/>
        <v>50</v>
      </c>
      <c r="S88" s="60">
        <v>500</v>
      </c>
      <c r="T88" s="60">
        <v>0</v>
      </c>
      <c r="U88" s="60">
        <f t="shared" si="103"/>
        <v>500</v>
      </c>
      <c r="V88" s="21"/>
      <c r="W88" s="275" t="s">
        <v>418</v>
      </c>
      <c r="X88" s="21"/>
      <c r="Y88" s="56"/>
      <c r="Z88" s="49"/>
      <c r="AA88" s="66"/>
      <c r="AB88" s="21"/>
      <c r="AC88" s="21"/>
      <c r="AD88" s="1"/>
      <c r="AE88" s="1"/>
    </row>
    <row r="89" spans="1:31" ht="11.25" customHeight="1">
      <c r="A89" s="49">
        <v>6290007</v>
      </c>
      <c r="B89" s="49"/>
      <c r="C89" s="22" t="s">
        <v>85</v>
      </c>
      <c r="D89" s="21"/>
      <c r="E89" s="21" t="s">
        <v>86</v>
      </c>
      <c r="F89" s="21"/>
      <c r="G89" s="58">
        <v>250</v>
      </c>
      <c r="H89" s="58">
        <v>0</v>
      </c>
      <c r="I89" s="58">
        <f t="shared" si="100"/>
        <v>250</v>
      </c>
      <c r="J89" s="21"/>
      <c r="K89" s="23">
        <v>235</v>
      </c>
      <c r="L89" s="23">
        <v>0</v>
      </c>
      <c r="M89" s="23">
        <f t="shared" si="101"/>
        <v>235</v>
      </c>
      <c r="N89" s="21"/>
      <c r="O89" s="59">
        <f t="shared" si="98"/>
        <v>0.94</v>
      </c>
      <c r="P89" s="21"/>
      <c r="Q89" s="21"/>
      <c r="R89" s="61">
        <f t="shared" si="102"/>
        <v>15</v>
      </c>
      <c r="S89" s="60">
        <v>250</v>
      </c>
      <c r="T89" s="60">
        <v>0</v>
      </c>
      <c r="U89" s="60">
        <f t="shared" si="103"/>
        <v>250</v>
      </c>
      <c r="V89" s="21"/>
      <c r="W89" s="275"/>
      <c r="X89" s="21"/>
      <c r="Y89" s="56"/>
      <c r="Z89" s="49"/>
      <c r="AA89" s="66"/>
      <c r="AB89" s="21"/>
      <c r="AC89" s="21"/>
      <c r="AD89" s="1"/>
      <c r="AE89" s="1"/>
    </row>
    <row r="90" spans="1:31" ht="11.25" customHeight="1">
      <c r="A90" s="49">
        <v>6290008</v>
      </c>
      <c r="B90" s="49"/>
      <c r="C90" s="22" t="s">
        <v>87</v>
      </c>
      <c r="D90" s="21"/>
      <c r="E90" s="21" t="s">
        <v>88</v>
      </c>
      <c r="F90" s="21"/>
      <c r="G90" s="58">
        <v>1000</v>
      </c>
      <c r="H90" s="58">
        <v>0</v>
      </c>
      <c r="I90" s="58">
        <f t="shared" si="100"/>
        <v>1000</v>
      </c>
      <c r="J90" s="21"/>
      <c r="K90" s="23">
        <v>0</v>
      </c>
      <c r="L90" s="23">
        <v>0</v>
      </c>
      <c r="M90" s="23">
        <f t="shared" si="101"/>
        <v>0</v>
      </c>
      <c r="N90" s="21"/>
      <c r="O90" s="59">
        <f t="shared" si="98"/>
        <v>0</v>
      </c>
      <c r="P90" s="21"/>
      <c r="Q90" s="21"/>
      <c r="R90" s="61">
        <f t="shared" si="102"/>
        <v>1000</v>
      </c>
      <c r="S90" s="60">
        <v>1000</v>
      </c>
      <c r="T90" s="60">
        <v>0</v>
      </c>
      <c r="U90" s="60">
        <f t="shared" si="103"/>
        <v>1000</v>
      </c>
      <c r="V90" s="21"/>
      <c r="W90" s="275"/>
      <c r="X90" s="21"/>
      <c r="Y90" s="56"/>
      <c r="Z90" s="49"/>
      <c r="AA90" s="66"/>
      <c r="AB90" s="21"/>
      <c r="AC90" s="21"/>
      <c r="AD90" s="1"/>
      <c r="AE90" s="1"/>
    </row>
    <row r="91" spans="1:31" ht="11.25" customHeight="1">
      <c r="A91" s="49">
        <v>6290009</v>
      </c>
      <c r="B91" s="49"/>
      <c r="C91" s="22" t="s">
        <v>89</v>
      </c>
      <c r="D91" s="21"/>
      <c r="E91" s="21" t="s">
        <v>90</v>
      </c>
      <c r="F91" s="21"/>
      <c r="G91" s="58">
        <v>10000</v>
      </c>
      <c r="H91" s="58">
        <v>0</v>
      </c>
      <c r="I91" s="58">
        <f t="shared" si="100"/>
        <v>10000</v>
      </c>
      <c r="J91" s="21"/>
      <c r="K91" s="23">
        <v>4447.0200000000004</v>
      </c>
      <c r="L91" s="23">
        <v>0</v>
      </c>
      <c r="M91" s="23">
        <f t="shared" si="101"/>
        <v>4447.0200000000004</v>
      </c>
      <c r="N91" s="21"/>
      <c r="O91" s="59">
        <f t="shared" si="98"/>
        <v>0.44470200000000004</v>
      </c>
      <c r="P91" s="21"/>
      <c r="Q91" s="21"/>
      <c r="R91" s="61">
        <f t="shared" si="102"/>
        <v>5552.98</v>
      </c>
      <c r="S91" s="60">
        <v>10000</v>
      </c>
      <c r="T91" s="60">
        <v>0</v>
      </c>
      <c r="U91" s="60">
        <f t="shared" si="103"/>
        <v>10000</v>
      </c>
      <c r="V91" s="21"/>
      <c r="W91" s="275" t="s">
        <v>419</v>
      </c>
      <c r="X91" s="21"/>
      <c r="Y91" s="57"/>
      <c r="Z91" s="49"/>
      <c r="AA91" s="66"/>
      <c r="AB91" s="21"/>
      <c r="AC91" s="21"/>
      <c r="AD91" s="1"/>
      <c r="AE91" s="1"/>
    </row>
    <row r="92" spans="1:31" ht="11.25" customHeight="1">
      <c r="A92" s="49">
        <v>6290010</v>
      </c>
      <c r="B92" s="49"/>
      <c r="C92" s="22" t="s">
        <v>91</v>
      </c>
      <c r="D92" s="21"/>
      <c r="E92" s="21" t="s">
        <v>92</v>
      </c>
      <c r="F92" s="21"/>
      <c r="G92" s="58">
        <v>500</v>
      </c>
      <c r="H92" s="58">
        <v>0</v>
      </c>
      <c r="I92" s="58">
        <f t="shared" si="100"/>
        <v>500</v>
      </c>
      <c r="J92" s="21"/>
      <c r="K92" s="23">
        <v>0</v>
      </c>
      <c r="L92" s="23">
        <v>0</v>
      </c>
      <c r="M92" s="23">
        <f t="shared" si="101"/>
        <v>0</v>
      </c>
      <c r="N92" s="21"/>
      <c r="O92" s="59">
        <f t="shared" si="98"/>
        <v>0</v>
      </c>
      <c r="P92" s="21"/>
      <c r="Q92" s="21"/>
      <c r="R92" s="61">
        <f t="shared" si="102"/>
        <v>500</v>
      </c>
      <c r="S92" s="60">
        <v>500</v>
      </c>
      <c r="T92" s="60">
        <v>0</v>
      </c>
      <c r="U92" s="60">
        <f t="shared" si="103"/>
        <v>500</v>
      </c>
      <c r="V92" s="21"/>
      <c r="W92" s="275"/>
      <c r="X92" s="21"/>
      <c r="Y92" s="56"/>
      <c r="Z92" s="49"/>
      <c r="AA92" s="83"/>
      <c r="AB92" s="21"/>
      <c r="AC92" s="21"/>
      <c r="AD92" s="1"/>
      <c r="AE92" s="1"/>
    </row>
    <row r="93" spans="1:31" ht="11.25" customHeight="1">
      <c r="A93" s="49">
        <v>6290011</v>
      </c>
      <c r="B93" s="49">
        <v>1500</v>
      </c>
      <c r="C93" s="22" t="s">
        <v>93</v>
      </c>
      <c r="D93" s="21"/>
      <c r="E93" s="21" t="s">
        <v>94</v>
      </c>
      <c r="F93" s="21"/>
      <c r="G93" s="58">
        <v>500</v>
      </c>
      <c r="H93" s="58">
        <v>0</v>
      </c>
      <c r="I93" s="58">
        <f t="shared" si="100"/>
        <v>500</v>
      </c>
      <c r="J93" s="21"/>
      <c r="K93" s="23">
        <v>207.32</v>
      </c>
      <c r="L93" s="23">
        <v>0</v>
      </c>
      <c r="M93" s="23">
        <f t="shared" ref="M93:M97" si="104">K93+L93</f>
        <v>207.32</v>
      </c>
      <c r="N93" s="21"/>
      <c r="O93" s="59">
        <f t="shared" si="98"/>
        <v>0.41464000000000001</v>
      </c>
      <c r="P93" s="21"/>
      <c r="Q93" s="21"/>
      <c r="R93" s="61">
        <f t="shared" si="102"/>
        <v>292.68</v>
      </c>
      <c r="S93" s="60">
        <v>1000</v>
      </c>
      <c r="T93" s="60">
        <v>0</v>
      </c>
      <c r="U93" s="60">
        <f t="shared" si="103"/>
        <v>1000</v>
      </c>
      <c r="V93" s="21"/>
      <c r="W93" s="275" t="s">
        <v>420</v>
      </c>
      <c r="X93" s="21"/>
      <c r="Y93" s="56"/>
      <c r="Z93" s="49"/>
      <c r="AA93" s="1"/>
      <c r="AB93" s="21"/>
      <c r="AC93" s="21"/>
      <c r="AD93" s="1"/>
      <c r="AE93" s="1"/>
    </row>
    <row r="94" spans="1:31" ht="11.25" customHeight="1">
      <c r="A94" s="49">
        <v>6299999</v>
      </c>
      <c r="B94" s="49"/>
      <c r="C94" s="22" t="s">
        <v>95</v>
      </c>
      <c r="D94" s="21"/>
      <c r="E94" s="21" t="s">
        <v>96</v>
      </c>
      <c r="F94" s="21"/>
      <c r="G94" s="58">
        <v>500</v>
      </c>
      <c r="H94" s="58">
        <v>0</v>
      </c>
      <c r="I94" s="58">
        <f t="shared" si="100"/>
        <v>500</v>
      </c>
      <c r="J94" s="21"/>
      <c r="K94" s="23">
        <v>134.04</v>
      </c>
      <c r="L94" s="23">
        <v>0</v>
      </c>
      <c r="M94" s="23">
        <f t="shared" si="104"/>
        <v>134.04</v>
      </c>
      <c r="N94" s="21"/>
      <c r="O94" s="59">
        <f t="shared" si="98"/>
        <v>0.26807999999999998</v>
      </c>
      <c r="P94" s="21"/>
      <c r="Q94" s="21"/>
      <c r="R94" s="61">
        <f t="shared" si="102"/>
        <v>365.96000000000004</v>
      </c>
      <c r="S94" s="60">
        <v>250</v>
      </c>
      <c r="T94" s="60">
        <v>0</v>
      </c>
      <c r="U94" s="60">
        <f t="shared" si="103"/>
        <v>250</v>
      </c>
      <c r="V94" s="21"/>
      <c r="W94" s="275" t="s">
        <v>97</v>
      </c>
      <c r="X94" s="21"/>
      <c r="Y94" s="57"/>
      <c r="Z94" s="49"/>
      <c r="AA94" s="1"/>
      <c r="AB94" s="21"/>
      <c r="AC94" s="21"/>
      <c r="AD94" s="1"/>
      <c r="AE94" s="1"/>
    </row>
    <row r="95" spans="1:31" ht="11.25" customHeight="1">
      <c r="A95" s="49">
        <v>6290000</v>
      </c>
      <c r="B95" s="49"/>
      <c r="C95" s="22" t="s">
        <v>98</v>
      </c>
      <c r="D95" s="21"/>
      <c r="E95" s="21" t="s">
        <v>99</v>
      </c>
      <c r="F95" s="21"/>
      <c r="G95" s="58">
        <v>2000</v>
      </c>
      <c r="H95" s="58">
        <v>0</v>
      </c>
      <c r="I95" s="58">
        <f t="shared" si="100"/>
        <v>2000</v>
      </c>
      <c r="J95" s="21"/>
      <c r="K95" s="23">
        <v>2144.09</v>
      </c>
      <c r="L95" s="23">
        <v>0</v>
      </c>
      <c r="M95" s="23">
        <f t="shared" si="104"/>
        <v>2144.09</v>
      </c>
      <c r="N95" s="21"/>
      <c r="O95" s="59">
        <f t="shared" si="98"/>
        <v>1.0720450000000001</v>
      </c>
      <c r="P95" s="21"/>
      <c r="Q95" s="21"/>
      <c r="R95" s="61">
        <f t="shared" si="102"/>
        <v>-144.09000000000015</v>
      </c>
      <c r="S95" s="60">
        <v>3000</v>
      </c>
      <c r="T95" s="60">
        <v>0</v>
      </c>
      <c r="U95" s="60">
        <f t="shared" si="103"/>
        <v>3000</v>
      </c>
      <c r="V95" s="21"/>
      <c r="W95" s="300" t="s">
        <v>253</v>
      </c>
      <c r="X95" s="218"/>
      <c r="Y95" s="56"/>
      <c r="Z95" s="49"/>
      <c r="AA95" s="1"/>
      <c r="AB95" s="21"/>
      <c r="AC95" s="21"/>
      <c r="AD95" s="1"/>
      <c r="AE95" s="1"/>
    </row>
    <row r="96" spans="1:31" ht="11.25" customHeight="1">
      <c r="A96" s="49"/>
      <c r="B96" s="49"/>
      <c r="C96" s="22" t="s">
        <v>100</v>
      </c>
      <c r="D96" s="21"/>
      <c r="E96" s="21" t="s">
        <v>101</v>
      </c>
      <c r="F96" s="21"/>
      <c r="G96" s="58">
        <v>7500</v>
      </c>
      <c r="H96" s="58">
        <v>0</v>
      </c>
      <c r="I96" s="58">
        <f t="shared" si="100"/>
        <v>7500</v>
      </c>
      <c r="J96" s="21"/>
      <c r="K96" s="23">
        <v>1238.77</v>
      </c>
      <c r="L96" s="23">
        <v>0</v>
      </c>
      <c r="M96" s="23">
        <f t="shared" si="104"/>
        <v>1238.77</v>
      </c>
      <c r="N96" s="21"/>
      <c r="O96" s="59">
        <f t="shared" si="98"/>
        <v>0.16516933333333333</v>
      </c>
      <c r="P96" s="21"/>
      <c r="Q96" s="21"/>
      <c r="R96" s="61">
        <f t="shared" si="102"/>
        <v>6261.23</v>
      </c>
      <c r="S96" s="60">
        <v>5000</v>
      </c>
      <c r="T96" s="60">
        <v>0</v>
      </c>
      <c r="U96" s="60">
        <f t="shared" si="103"/>
        <v>5000</v>
      </c>
      <c r="V96" s="21"/>
      <c r="W96" s="275" t="s">
        <v>421</v>
      </c>
      <c r="X96" s="21"/>
      <c r="Y96" s="56"/>
      <c r="Z96" s="49"/>
      <c r="AA96" s="1"/>
      <c r="AB96" s="21"/>
      <c r="AC96" s="21"/>
      <c r="AD96" s="1"/>
      <c r="AE96" s="1"/>
    </row>
    <row r="97" spans="1:31" ht="11.25" customHeight="1">
      <c r="A97" s="49"/>
      <c r="B97" s="49"/>
      <c r="C97" s="22" t="s">
        <v>103</v>
      </c>
      <c r="D97" s="21"/>
      <c r="E97" s="21" t="s">
        <v>104</v>
      </c>
      <c r="F97" s="21"/>
      <c r="G97" s="58">
        <v>0</v>
      </c>
      <c r="H97" s="58">
        <v>19000</v>
      </c>
      <c r="I97" s="58">
        <f t="shared" si="100"/>
        <v>19000</v>
      </c>
      <c r="J97" s="21"/>
      <c r="K97" s="23">
        <v>0</v>
      </c>
      <c r="L97" s="23">
        <v>5363.42</v>
      </c>
      <c r="M97" s="23">
        <f t="shared" si="104"/>
        <v>5363.42</v>
      </c>
      <c r="N97" s="21"/>
      <c r="O97" s="59">
        <f t="shared" si="98"/>
        <v>0.28228526315789476</v>
      </c>
      <c r="P97" s="21"/>
      <c r="Q97" s="21"/>
      <c r="R97" s="61">
        <f t="shared" si="102"/>
        <v>13636.58</v>
      </c>
      <c r="S97" s="60">
        <v>0</v>
      </c>
      <c r="T97" s="60">
        <v>12000</v>
      </c>
      <c r="U97" s="60">
        <f t="shared" si="103"/>
        <v>12000</v>
      </c>
      <c r="V97" s="21"/>
      <c r="W97" s="307" t="s">
        <v>404</v>
      </c>
      <c r="X97" s="21"/>
      <c r="Y97" s="56"/>
      <c r="Z97" s="49"/>
      <c r="AA97" s="1"/>
      <c r="AB97" s="21"/>
      <c r="AC97" s="21"/>
      <c r="AD97" s="1"/>
      <c r="AE97" s="1"/>
    </row>
    <row r="98" spans="1:31" ht="11.25" customHeight="1">
      <c r="A98" s="49"/>
      <c r="B98" s="49"/>
      <c r="C98" s="22"/>
      <c r="D98" s="21"/>
      <c r="E98" s="21"/>
      <c r="F98" s="21"/>
      <c r="G98" s="58"/>
      <c r="H98" s="58"/>
      <c r="I98" s="58"/>
      <c r="J98" s="21"/>
      <c r="K98" s="23"/>
      <c r="L98" s="23"/>
      <c r="M98" s="23"/>
      <c r="N98" s="21"/>
      <c r="O98" s="53"/>
      <c r="P98" s="21"/>
      <c r="Q98" s="21"/>
      <c r="R98" s="61"/>
      <c r="S98" s="60"/>
      <c r="T98" s="60"/>
      <c r="U98" s="60"/>
      <c r="V98" s="21"/>
      <c r="W98" s="275"/>
      <c r="X98" s="21"/>
      <c r="Y98" s="56"/>
      <c r="Z98" s="49"/>
      <c r="AA98" s="1"/>
      <c r="AB98" s="21"/>
      <c r="AC98" s="21"/>
      <c r="AD98" s="1"/>
      <c r="AE98" s="1"/>
    </row>
    <row r="99" spans="1:31" ht="11.25" customHeight="1">
      <c r="A99" s="49"/>
      <c r="B99" s="49"/>
      <c r="C99" s="22">
        <v>227</v>
      </c>
      <c r="D99" s="21"/>
      <c r="E99" s="50" t="s">
        <v>105</v>
      </c>
      <c r="F99" s="21"/>
      <c r="G99" s="51">
        <f t="shared" ref="G99:I99" si="105">SUM(G100:G107)</f>
        <v>31470</v>
      </c>
      <c r="H99" s="51">
        <f t="shared" si="105"/>
        <v>2500</v>
      </c>
      <c r="I99" s="51">
        <f t="shared" si="105"/>
        <v>33970</v>
      </c>
      <c r="J99" s="21"/>
      <c r="K99" s="52">
        <f t="shared" ref="K99:L99" si="106">SUM(K100:K107)</f>
        <v>23369.71</v>
      </c>
      <c r="L99" s="52">
        <f t="shared" si="106"/>
        <v>0</v>
      </c>
      <c r="M99" s="52">
        <f t="shared" ref="M99:M107" si="107">K99+L99</f>
        <v>23369.71</v>
      </c>
      <c r="N99" s="21"/>
      <c r="O99" s="53">
        <f t="shared" ref="O99:O100" si="108">M99/I99</f>
        <v>0.68795142773035023</v>
      </c>
      <c r="P99" s="21"/>
      <c r="Q99" s="21"/>
      <c r="R99" s="54">
        <f t="shared" ref="R99:R107" si="109">I99-K99-L99</f>
        <v>10600.29</v>
      </c>
      <c r="S99" s="55">
        <f t="shared" ref="S99:U99" si="110">SUM(S100:S107)</f>
        <v>32470</v>
      </c>
      <c r="T99" s="55">
        <f t="shared" si="110"/>
        <v>0</v>
      </c>
      <c r="U99" s="55">
        <f t="shared" si="110"/>
        <v>32470</v>
      </c>
      <c r="V99" s="21"/>
      <c r="W99" s="275"/>
      <c r="X99" s="21"/>
      <c r="Y99" s="56"/>
      <c r="Z99" s="49"/>
      <c r="AA99" s="1"/>
      <c r="AB99" s="21"/>
      <c r="AC99" s="21"/>
      <c r="AD99" s="1"/>
      <c r="AE99" s="1"/>
    </row>
    <row r="100" spans="1:31" ht="11.25" customHeight="1">
      <c r="A100" s="49">
        <v>6290012</v>
      </c>
      <c r="B100" s="49"/>
      <c r="C100" s="22" t="s">
        <v>106</v>
      </c>
      <c r="D100" s="21"/>
      <c r="E100" s="21" t="s">
        <v>107</v>
      </c>
      <c r="F100" s="21"/>
      <c r="G100" s="58">
        <v>2150</v>
      </c>
      <c r="H100" s="58">
        <v>0</v>
      </c>
      <c r="I100" s="58">
        <f t="shared" ref="I100:I107" si="111">SUM(G100:H100)</f>
        <v>2150</v>
      </c>
      <c r="J100" s="21"/>
      <c r="K100" s="23">
        <v>1536.75</v>
      </c>
      <c r="L100" s="23">
        <v>0</v>
      </c>
      <c r="M100" s="23">
        <f t="shared" si="107"/>
        <v>1536.75</v>
      </c>
      <c r="N100" s="21"/>
      <c r="O100" s="59">
        <f t="shared" si="108"/>
        <v>0.71476744186046515</v>
      </c>
      <c r="P100" s="21"/>
      <c r="Q100" s="21"/>
      <c r="R100" s="61">
        <f t="shared" si="109"/>
        <v>613.25</v>
      </c>
      <c r="S100" s="60">
        <v>2150</v>
      </c>
      <c r="T100" s="60">
        <v>0</v>
      </c>
      <c r="U100" s="60">
        <f t="shared" ref="U100:U107" si="112">SUM(S100:T100)</f>
        <v>2150</v>
      </c>
      <c r="V100" s="21"/>
      <c r="W100" s="275" t="s">
        <v>422</v>
      </c>
      <c r="X100" s="216"/>
      <c r="Y100" s="56"/>
      <c r="Z100" s="49"/>
      <c r="AA100" s="1"/>
      <c r="AB100" s="21"/>
      <c r="AC100" s="21"/>
      <c r="AD100" s="1"/>
      <c r="AE100" s="1"/>
    </row>
    <row r="101" spans="1:31" ht="11.25" customHeight="1">
      <c r="A101" s="49">
        <v>6290014</v>
      </c>
      <c r="B101" s="49"/>
      <c r="C101" s="22" t="s">
        <v>108</v>
      </c>
      <c r="D101" s="21"/>
      <c r="E101" s="21" t="s">
        <v>109</v>
      </c>
      <c r="F101" s="21"/>
      <c r="G101" s="58">
        <v>0</v>
      </c>
      <c r="H101" s="58">
        <v>0</v>
      </c>
      <c r="I101" s="58">
        <f t="shared" si="111"/>
        <v>0</v>
      </c>
      <c r="J101" s="21"/>
      <c r="K101" s="23">
        <v>0</v>
      </c>
      <c r="L101" s="23">
        <v>0</v>
      </c>
      <c r="M101" s="23">
        <f t="shared" si="107"/>
        <v>0</v>
      </c>
      <c r="N101" s="21"/>
      <c r="O101" s="59">
        <v>0</v>
      </c>
      <c r="P101" s="21"/>
      <c r="Q101" s="21"/>
      <c r="R101" s="61">
        <f t="shared" si="109"/>
        <v>0</v>
      </c>
      <c r="S101" s="60">
        <v>0</v>
      </c>
      <c r="T101" s="60">
        <v>0</v>
      </c>
      <c r="U101" s="60">
        <f t="shared" si="112"/>
        <v>0</v>
      </c>
      <c r="V101" s="21"/>
      <c r="W101" s="275"/>
      <c r="X101" s="21"/>
      <c r="Y101" s="56"/>
      <c r="Z101" s="49"/>
      <c r="AA101" s="1"/>
      <c r="AB101" s="21"/>
      <c r="AC101" s="21"/>
      <c r="AD101" s="1"/>
      <c r="AE101" s="1"/>
    </row>
    <row r="102" spans="1:31" ht="11.25" customHeight="1">
      <c r="A102" s="49">
        <v>6230001</v>
      </c>
      <c r="B102" s="49"/>
      <c r="C102" s="22" t="s">
        <v>110</v>
      </c>
      <c r="D102" s="21"/>
      <c r="E102" s="21" t="s">
        <v>111</v>
      </c>
      <c r="F102" s="21"/>
      <c r="G102" s="58">
        <v>5100</v>
      </c>
      <c r="H102" s="58">
        <v>0</v>
      </c>
      <c r="I102" s="58">
        <f t="shared" si="111"/>
        <v>5100</v>
      </c>
      <c r="J102" s="21"/>
      <c r="K102" s="84">
        <v>3867.3</v>
      </c>
      <c r="L102" s="23">
        <v>0</v>
      </c>
      <c r="M102" s="23">
        <f t="shared" si="107"/>
        <v>3867.3</v>
      </c>
      <c r="N102" s="21"/>
      <c r="O102" s="59">
        <f t="shared" ref="O102:O104" si="113">M102/I102</f>
        <v>0.7582941176470589</v>
      </c>
      <c r="P102" s="21"/>
      <c r="Q102" s="21"/>
      <c r="R102" s="61">
        <f t="shared" si="109"/>
        <v>1232.6999999999998</v>
      </c>
      <c r="S102" s="60">
        <v>5100</v>
      </c>
      <c r="T102" s="60">
        <v>0</v>
      </c>
      <c r="U102" s="60">
        <f t="shared" si="112"/>
        <v>5100</v>
      </c>
      <c r="V102" s="21"/>
      <c r="W102" s="275"/>
      <c r="X102" s="21"/>
      <c r="Y102" s="56"/>
      <c r="Z102" s="49"/>
      <c r="AA102" s="1"/>
      <c r="AB102" s="21"/>
      <c r="AC102" s="21"/>
      <c r="AD102" s="1"/>
      <c r="AE102" s="1"/>
    </row>
    <row r="103" spans="1:31" ht="11.25" customHeight="1">
      <c r="A103" s="49">
        <v>6230002</v>
      </c>
      <c r="B103" s="49"/>
      <c r="C103" s="22" t="s">
        <v>112</v>
      </c>
      <c r="D103" s="21"/>
      <c r="E103" s="21" t="s">
        <v>113</v>
      </c>
      <c r="F103" s="21"/>
      <c r="G103" s="58">
        <v>800</v>
      </c>
      <c r="H103" s="58">
        <v>0</v>
      </c>
      <c r="I103" s="58">
        <f t="shared" si="111"/>
        <v>800</v>
      </c>
      <c r="J103" s="21"/>
      <c r="K103" s="84">
        <v>539.20000000000005</v>
      </c>
      <c r="L103" s="23">
        <v>0</v>
      </c>
      <c r="M103" s="23">
        <f t="shared" si="107"/>
        <v>539.20000000000005</v>
      </c>
      <c r="N103" s="21"/>
      <c r="O103" s="59">
        <f t="shared" si="113"/>
        <v>0.67400000000000004</v>
      </c>
      <c r="P103" s="21"/>
      <c r="Q103" s="21"/>
      <c r="R103" s="61">
        <f t="shared" si="109"/>
        <v>260.79999999999995</v>
      </c>
      <c r="S103" s="60">
        <v>870</v>
      </c>
      <c r="T103" s="60">
        <v>0</v>
      </c>
      <c r="U103" s="60">
        <f t="shared" si="112"/>
        <v>870</v>
      </c>
      <c r="V103" s="21"/>
      <c r="W103" s="275" t="s">
        <v>114</v>
      </c>
      <c r="X103" s="21"/>
      <c r="Y103" s="56"/>
      <c r="Z103" s="49"/>
      <c r="AA103" s="1"/>
      <c r="AB103" s="21"/>
      <c r="AC103" s="21"/>
      <c r="AD103" s="1"/>
      <c r="AE103" s="1"/>
    </row>
    <row r="104" spans="1:31" ht="11.25" customHeight="1">
      <c r="A104" s="49">
        <v>6230003</v>
      </c>
      <c r="B104" s="49"/>
      <c r="C104" s="22" t="s">
        <v>115</v>
      </c>
      <c r="D104" s="21"/>
      <c r="E104" s="21" t="s">
        <v>116</v>
      </c>
      <c r="F104" s="21"/>
      <c r="G104" s="58">
        <f>12150</f>
        <v>12150</v>
      </c>
      <c r="H104" s="58">
        <v>0</v>
      </c>
      <c r="I104" s="58">
        <f t="shared" si="111"/>
        <v>12150</v>
      </c>
      <c r="J104" s="21"/>
      <c r="K104" s="84">
        <v>9187.6299999999992</v>
      </c>
      <c r="L104" s="23">
        <v>0</v>
      </c>
      <c r="M104" s="23">
        <f t="shared" si="107"/>
        <v>9187.6299999999992</v>
      </c>
      <c r="N104" s="21"/>
      <c r="O104" s="59">
        <f t="shared" si="113"/>
        <v>0.75618353909465019</v>
      </c>
      <c r="P104" s="21"/>
      <c r="Q104" s="21"/>
      <c r="R104" s="61">
        <f t="shared" si="109"/>
        <v>2962.3700000000008</v>
      </c>
      <c r="S104" s="60">
        <f>12150</f>
        <v>12150</v>
      </c>
      <c r="T104" s="60">
        <v>0</v>
      </c>
      <c r="U104" s="60">
        <f t="shared" si="112"/>
        <v>12150</v>
      </c>
      <c r="V104" s="21"/>
      <c r="W104" s="275" t="s">
        <v>117</v>
      </c>
      <c r="X104" s="21"/>
      <c r="Y104" s="56"/>
      <c r="Z104" s="49"/>
      <c r="AA104" s="1"/>
      <c r="AB104" s="21"/>
      <c r="AC104" s="21"/>
      <c r="AD104" s="1"/>
      <c r="AE104" s="1"/>
    </row>
    <row r="105" spans="1:31" ht="11.25" customHeight="1">
      <c r="A105" s="49">
        <v>6230004</v>
      </c>
      <c r="B105" s="49"/>
      <c r="C105" s="22" t="s">
        <v>118</v>
      </c>
      <c r="D105" s="57"/>
      <c r="E105" s="21" t="s">
        <v>119</v>
      </c>
      <c r="F105" s="57"/>
      <c r="G105" s="58">
        <v>770</v>
      </c>
      <c r="H105" s="58">
        <v>2500</v>
      </c>
      <c r="I105" s="58">
        <f t="shared" si="111"/>
        <v>3270</v>
      </c>
      <c r="J105" s="57"/>
      <c r="K105" s="23">
        <v>0</v>
      </c>
      <c r="L105" s="23">
        <v>0</v>
      </c>
      <c r="M105" s="23">
        <f t="shared" si="107"/>
        <v>0</v>
      </c>
      <c r="N105" s="57"/>
      <c r="O105" s="59">
        <f>M105/I105*100</f>
        <v>0</v>
      </c>
      <c r="P105" s="57"/>
      <c r="Q105" s="57"/>
      <c r="R105" s="61">
        <f t="shared" si="109"/>
        <v>3270</v>
      </c>
      <c r="S105" s="60">
        <v>1500</v>
      </c>
      <c r="T105" s="60">
        <v>0</v>
      </c>
      <c r="U105" s="60">
        <f t="shared" si="112"/>
        <v>1500</v>
      </c>
      <c r="V105" s="57"/>
      <c r="W105" s="275" t="s">
        <v>254</v>
      </c>
      <c r="X105" s="57"/>
      <c r="Y105" s="56"/>
      <c r="Z105" s="49"/>
      <c r="AA105" s="1"/>
      <c r="AB105" s="21"/>
      <c r="AC105" s="21"/>
      <c r="AD105" s="1"/>
      <c r="AE105" s="1"/>
    </row>
    <row r="106" spans="1:31" ht="11.25" customHeight="1">
      <c r="A106" s="49">
        <v>6230000</v>
      </c>
      <c r="B106" s="49"/>
      <c r="C106" s="22" t="s">
        <v>120</v>
      </c>
      <c r="D106" s="21"/>
      <c r="E106" s="21" t="s">
        <v>121</v>
      </c>
      <c r="F106" s="21"/>
      <c r="G106" s="58">
        <v>7500</v>
      </c>
      <c r="H106" s="58">
        <v>0</v>
      </c>
      <c r="I106" s="58">
        <f t="shared" si="111"/>
        <v>7500</v>
      </c>
      <c r="J106" s="21"/>
      <c r="K106" s="23">
        <v>7733.3</v>
      </c>
      <c r="L106" s="23">
        <v>0</v>
      </c>
      <c r="M106" s="23">
        <f t="shared" si="107"/>
        <v>7733.3</v>
      </c>
      <c r="N106" s="21"/>
      <c r="O106" s="59">
        <f t="shared" ref="O106:O107" si="114">M106/I106</f>
        <v>1.0311066666666666</v>
      </c>
      <c r="P106" s="21"/>
      <c r="Q106" s="21"/>
      <c r="R106" s="61">
        <f t="shared" si="109"/>
        <v>-233.30000000000018</v>
      </c>
      <c r="S106" s="60">
        <v>7500</v>
      </c>
      <c r="T106" s="60">
        <v>0</v>
      </c>
      <c r="U106" s="60">
        <f t="shared" si="112"/>
        <v>7500</v>
      </c>
      <c r="V106" s="21"/>
      <c r="W106" s="275" t="s">
        <v>122</v>
      </c>
      <c r="X106" s="21"/>
      <c r="Y106" s="56"/>
      <c r="Z106" s="49"/>
      <c r="AA106" s="1"/>
      <c r="AB106" s="21"/>
      <c r="AC106" s="21"/>
      <c r="AD106" s="1"/>
      <c r="AE106" s="1"/>
    </row>
    <row r="107" spans="1:31" ht="11.25" customHeight="1">
      <c r="A107" s="49"/>
      <c r="B107" s="49"/>
      <c r="C107" s="22" t="s">
        <v>123</v>
      </c>
      <c r="D107" s="21"/>
      <c r="E107" s="21" t="s">
        <v>124</v>
      </c>
      <c r="F107" s="21"/>
      <c r="G107" s="58">
        <f>(3000-1930-632)+1930+632</f>
        <v>3000</v>
      </c>
      <c r="H107" s="58">
        <v>0</v>
      </c>
      <c r="I107" s="58">
        <f t="shared" si="111"/>
        <v>3000</v>
      </c>
      <c r="J107" s="21"/>
      <c r="K107" s="23">
        <v>505.53</v>
      </c>
      <c r="L107" s="23">
        <v>0</v>
      </c>
      <c r="M107" s="23">
        <f t="shared" si="107"/>
        <v>505.53</v>
      </c>
      <c r="N107" s="21"/>
      <c r="O107" s="59">
        <f t="shared" si="114"/>
        <v>0.16850999999999999</v>
      </c>
      <c r="P107" s="21"/>
      <c r="Q107" s="21"/>
      <c r="R107" s="61">
        <f t="shared" si="109"/>
        <v>2494.4700000000003</v>
      </c>
      <c r="S107" s="60">
        <v>3200</v>
      </c>
      <c r="T107" s="60">
        <v>0</v>
      </c>
      <c r="U107" s="60">
        <f t="shared" si="112"/>
        <v>3200</v>
      </c>
      <c r="V107" s="21"/>
      <c r="W107" s="275" t="s">
        <v>125</v>
      </c>
      <c r="X107" s="21"/>
      <c r="Y107" s="56"/>
      <c r="Z107" s="49"/>
      <c r="AA107" s="1"/>
      <c r="AB107" s="21"/>
      <c r="AC107" s="21"/>
      <c r="AD107" s="1"/>
      <c r="AE107" s="1"/>
    </row>
    <row r="108" spans="1:31" ht="12.75" customHeight="1">
      <c r="A108" s="49"/>
      <c r="B108" s="49"/>
      <c r="C108" s="8"/>
      <c r="D108" s="7"/>
      <c r="E108" s="7"/>
      <c r="F108" s="7"/>
      <c r="G108" s="43"/>
      <c r="H108" s="43"/>
      <c r="I108" s="43"/>
      <c r="J108" s="7"/>
      <c r="K108" s="44"/>
      <c r="L108" s="44"/>
      <c r="M108" s="23"/>
      <c r="N108" s="7"/>
      <c r="O108" s="53"/>
      <c r="P108" s="7"/>
      <c r="Q108" s="7"/>
      <c r="R108" s="46"/>
      <c r="S108" s="47"/>
      <c r="T108" s="47"/>
      <c r="U108" s="47"/>
      <c r="V108" s="7"/>
      <c r="W108" s="290"/>
      <c r="X108" s="7"/>
      <c r="Y108" s="48"/>
      <c r="Z108" s="7"/>
      <c r="AA108" s="1"/>
      <c r="AB108" s="7"/>
      <c r="AC108" s="7"/>
      <c r="AD108" s="1"/>
      <c r="AE108" s="1"/>
    </row>
    <row r="109" spans="1:31" ht="12.75" customHeight="1">
      <c r="A109" s="49"/>
      <c r="B109" s="49"/>
      <c r="C109" s="36">
        <v>23</v>
      </c>
      <c r="D109" s="7"/>
      <c r="E109" s="14" t="s">
        <v>126</v>
      </c>
      <c r="F109" s="7"/>
      <c r="G109" s="37">
        <f t="shared" ref="G109:I109" si="115">SUM(G111,G116)</f>
        <v>43100</v>
      </c>
      <c r="H109" s="37">
        <f t="shared" si="115"/>
        <v>0</v>
      </c>
      <c r="I109" s="37">
        <f t="shared" si="115"/>
        <v>43100</v>
      </c>
      <c r="J109" s="7"/>
      <c r="K109" s="38">
        <f t="shared" ref="K109:L109" si="116">K111+K116</f>
        <v>30156.73</v>
      </c>
      <c r="L109" s="38">
        <f t="shared" si="116"/>
        <v>0</v>
      </c>
      <c r="M109" s="38">
        <f>K109+L109</f>
        <v>30156.73</v>
      </c>
      <c r="N109" s="7"/>
      <c r="O109" s="39">
        <f>M109/I109</f>
        <v>0.69969211136890952</v>
      </c>
      <c r="P109" s="7"/>
      <c r="Q109" s="7"/>
      <c r="R109" s="40">
        <f>R111+R116</f>
        <v>12943.27</v>
      </c>
      <c r="S109" s="85">
        <f t="shared" ref="S109:U109" si="117">SUM(S111,S116)</f>
        <v>47472</v>
      </c>
      <c r="T109" s="85">
        <f t="shared" si="117"/>
        <v>0</v>
      </c>
      <c r="U109" s="85">
        <f t="shared" si="117"/>
        <v>47472</v>
      </c>
      <c r="V109" s="7"/>
      <c r="W109" s="290"/>
      <c r="X109" s="7"/>
      <c r="Y109" s="48"/>
      <c r="Z109" s="11"/>
      <c r="AA109" s="1"/>
      <c r="AB109" s="7"/>
      <c r="AC109" s="7"/>
      <c r="AD109" s="1"/>
      <c r="AE109" s="1"/>
    </row>
    <row r="110" spans="1:31" ht="6" customHeight="1">
      <c r="A110" s="49"/>
      <c r="B110" s="49"/>
      <c r="C110" s="8"/>
      <c r="D110" s="7"/>
      <c r="E110" s="7"/>
      <c r="F110" s="7"/>
      <c r="G110" s="43"/>
      <c r="H110" s="43"/>
      <c r="I110" s="43"/>
      <c r="J110" s="7"/>
      <c r="K110" s="44"/>
      <c r="L110" s="44"/>
      <c r="M110" s="23"/>
      <c r="N110" s="7"/>
      <c r="O110" s="53"/>
      <c r="P110" s="7"/>
      <c r="Q110" s="7"/>
      <c r="R110" s="46"/>
      <c r="S110" s="47"/>
      <c r="T110" s="47"/>
      <c r="U110" s="47"/>
      <c r="V110" s="7"/>
      <c r="W110" s="290"/>
      <c r="X110" s="7"/>
      <c r="Y110" s="48"/>
      <c r="Z110" s="7"/>
      <c r="AA110" s="1"/>
      <c r="AB110" s="7"/>
      <c r="AC110" s="7"/>
      <c r="AD110" s="1"/>
      <c r="AE110" s="1"/>
    </row>
    <row r="111" spans="1:31" ht="11.25" customHeight="1">
      <c r="A111" s="49"/>
      <c r="B111" s="49"/>
      <c r="C111" s="22">
        <v>230</v>
      </c>
      <c r="D111" s="21"/>
      <c r="E111" s="50" t="s">
        <v>127</v>
      </c>
      <c r="F111" s="21"/>
      <c r="G111" s="51">
        <f t="shared" ref="G111:I111" si="118">SUM(G112:G114)</f>
        <v>40600</v>
      </c>
      <c r="H111" s="51">
        <f t="shared" si="118"/>
        <v>0</v>
      </c>
      <c r="I111" s="51">
        <f t="shared" si="118"/>
        <v>40600</v>
      </c>
      <c r="J111" s="21"/>
      <c r="K111" s="52">
        <f t="shared" ref="K111:L111" si="119">SUM(K112:K114)</f>
        <v>28499.48</v>
      </c>
      <c r="L111" s="52">
        <f t="shared" si="119"/>
        <v>0</v>
      </c>
      <c r="M111" s="52">
        <f t="shared" ref="M111:M114" si="120">K111+L111</f>
        <v>28499.48</v>
      </c>
      <c r="N111" s="21"/>
      <c r="O111" s="53">
        <f t="shared" ref="O111:O113" si="121">M111/I111</f>
        <v>0.70195763546798029</v>
      </c>
      <c r="P111" s="21"/>
      <c r="Q111" s="21"/>
      <c r="R111" s="54">
        <f t="shared" ref="R111:U111" si="122">SUM(R112:R114)</f>
        <v>12100.52</v>
      </c>
      <c r="S111" s="55">
        <f t="shared" si="122"/>
        <v>44972</v>
      </c>
      <c r="T111" s="55">
        <f t="shared" si="122"/>
        <v>0</v>
      </c>
      <c r="U111" s="55">
        <f t="shared" si="122"/>
        <v>44972</v>
      </c>
      <c r="V111" s="21"/>
      <c r="W111" s="275"/>
      <c r="X111" s="21"/>
      <c r="Y111" s="56"/>
      <c r="Z111" s="49"/>
      <c r="AA111" s="1"/>
      <c r="AB111" s="21"/>
      <c r="AC111" s="21"/>
      <c r="AD111" s="1"/>
      <c r="AE111" s="1"/>
    </row>
    <row r="112" spans="1:31" ht="11.25" customHeight="1">
      <c r="A112" s="49">
        <v>6480000</v>
      </c>
      <c r="B112" s="49"/>
      <c r="C112" s="22" t="s">
        <v>128</v>
      </c>
      <c r="D112" s="21"/>
      <c r="E112" s="21" t="s">
        <v>129</v>
      </c>
      <c r="F112" s="21"/>
      <c r="G112" s="58">
        <v>38800</v>
      </c>
      <c r="H112" s="58">
        <v>0</v>
      </c>
      <c r="I112" s="58">
        <f t="shared" ref="I112:I114" si="123">SUM(G112:H112)</f>
        <v>38800</v>
      </c>
      <c r="J112" s="21"/>
      <c r="K112" s="23">
        <f>28472.48-247.8</f>
        <v>28224.68</v>
      </c>
      <c r="L112" s="23">
        <v>0</v>
      </c>
      <c r="M112" s="23">
        <f t="shared" si="120"/>
        <v>28224.68</v>
      </c>
      <c r="N112" s="21"/>
      <c r="O112" s="59">
        <f t="shared" si="121"/>
        <v>0.72744020618556704</v>
      </c>
      <c r="P112" s="21"/>
      <c r="Q112" s="21"/>
      <c r="R112" s="61">
        <f t="shared" ref="R112:R114" si="124">I112-K112-L112</f>
        <v>10575.32</v>
      </c>
      <c r="S112" s="60">
        <f>39572+3600</f>
        <v>43172</v>
      </c>
      <c r="T112" s="60">
        <v>0</v>
      </c>
      <c r="U112" s="60">
        <f t="shared" ref="U112:U114" si="125">SUM(S112:T112)</f>
        <v>43172</v>
      </c>
      <c r="V112" s="21"/>
      <c r="W112" s="275"/>
      <c r="X112" s="21"/>
      <c r="Y112" s="57"/>
      <c r="Z112" s="49"/>
      <c r="AA112" s="1"/>
      <c r="AB112" s="21"/>
      <c r="AC112" s="21"/>
      <c r="AD112" s="1"/>
      <c r="AE112" s="1"/>
    </row>
    <row r="113" spans="1:31" ht="11.25" customHeight="1">
      <c r="A113" s="49">
        <v>6290101</v>
      </c>
      <c r="B113" s="49"/>
      <c r="C113" s="22" t="s">
        <v>130</v>
      </c>
      <c r="D113" s="21"/>
      <c r="E113" s="21" t="s">
        <v>131</v>
      </c>
      <c r="F113" s="21"/>
      <c r="G113" s="58">
        <v>1800</v>
      </c>
      <c r="H113" s="58">
        <v>0</v>
      </c>
      <c r="I113" s="58">
        <f t="shared" si="123"/>
        <v>1800</v>
      </c>
      <c r="J113" s="21"/>
      <c r="K113" s="23">
        <v>274.8</v>
      </c>
      <c r="L113" s="23">
        <v>0</v>
      </c>
      <c r="M113" s="23">
        <f t="shared" si="120"/>
        <v>274.8</v>
      </c>
      <c r="N113" s="21"/>
      <c r="O113" s="59">
        <f t="shared" si="121"/>
        <v>0.15266666666666667</v>
      </c>
      <c r="P113" s="21"/>
      <c r="Q113" s="21"/>
      <c r="R113" s="61">
        <f t="shared" si="124"/>
        <v>1525.2</v>
      </c>
      <c r="S113" s="60">
        <v>1800</v>
      </c>
      <c r="T113" s="60">
        <v>0</v>
      </c>
      <c r="U113" s="60">
        <f t="shared" si="125"/>
        <v>1800</v>
      </c>
      <c r="V113" s="21"/>
      <c r="W113" s="275" t="s">
        <v>255</v>
      </c>
      <c r="X113" s="21"/>
      <c r="Y113" s="56"/>
      <c r="Z113" s="49"/>
      <c r="AA113" s="1"/>
      <c r="AB113" s="21"/>
      <c r="AC113" s="21"/>
      <c r="AD113" s="1"/>
      <c r="AE113" s="1"/>
    </row>
    <row r="114" spans="1:31" ht="11.25" customHeight="1">
      <c r="A114" s="49">
        <v>6290102</v>
      </c>
      <c r="B114" s="49"/>
      <c r="C114" s="22" t="s">
        <v>132</v>
      </c>
      <c r="D114" s="21"/>
      <c r="E114" s="21" t="s">
        <v>133</v>
      </c>
      <c r="F114" s="21"/>
      <c r="G114" s="58">
        <v>0</v>
      </c>
      <c r="H114" s="58">
        <v>0</v>
      </c>
      <c r="I114" s="58">
        <f t="shared" si="123"/>
        <v>0</v>
      </c>
      <c r="J114" s="21"/>
      <c r="K114" s="23">
        <v>0</v>
      </c>
      <c r="L114" s="23">
        <v>0</v>
      </c>
      <c r="M114" s="23">
        <f t="shared" si="120"/>
        <v>0</v>
      </c>
      <c r="N114" s="21"/>
      <c r="O114" s="59">
        <v>0</v>
      </c>
      <c r="P114" s="21"/>
      <c r="Q114" s="21"/>
      <c r="R114" s="61">
        <f t="shared" si="124"/>
        <v>0</v>
      </c>
      <c r="S114" s="60">
        <v>0</v>
      </c>
      <c r="T114" s="60">
        <v>0</v>
      </c>
      <c r="U114" s="60">
        <f t="shared" si="125"/>
        <v>0</v>
      </c>
      <c r="V114" s="21"/>
      <c r="W114" s="275"/>
      <c r="X114" s="21"/>
      <c r="Y114" s="56"/>
      <c r="Z114" s="49"/>
      <c r="AA114" s="1"/>
      <c r="AB114" s="21"/>
      <c r="AC114" s="21"/>
      <c r="AD114" s="1"/>
      <c r="AE114" s="1"/>
    </row>
    <row r="115" spans="1:31" ht="11.25" customHeight="1">
      <c r="A115" s="49"/>
      <c r="B115" s="49"/>
      <c r="C115" s="22"/>
      <c r="D115" s="21"/>
      <c r="E115" s="21"/>
      <c r="F115" s="21"/>
      <c r="G115" s="58"/>
      <c r="H115" s="58"/>
      <c r="I115" s="58"/>
      <c r="J115" s="21"/>
      <c r="K115" s="23"/>
      <c r="L115" s="23"/>
      <c r="M115" s="23"/>
      <c r="N115" s="21"/>
      <c r="O115" s="53"/>
      <c r="P115" s="21"/>
      <c r="Q115" s="21"/>
      <c r="R115" s="61"/>
      <c r="S115" s="60"/>
      <c r="T115" s="60"/>
      <c r="U115" s="60"/>
      <c r="V115" s="21"/>
      <c r="W115" s="275"/>
      <c r="X115" s="21"/>
      <c r="Y115" s="56"/>
      <c r="Z115" s="49"/>
      <c r="AA115" s="49"/>
      <c r="AB115" s="21"/>
      <c r="AC115" s="21"/>
      <c r="AD115" s="1"/>
      <c r="AE115" s="1"/>
    </row>
    <row r="116" spans="1:31" ht="11.25" customHeight="1">
      <c r="A116" s="49"/>
      <c r="B116" s="49"/>
      <c r="C116" s="22">
        <v>231</v>
      </c>
      <c r="D116" s="21"/>
      <c r="E116" s="50" t="s">
        <v>134</v>
      </c>
      <c r="F116" s="21"/>
      <c r="G116" s="51">
        <f>+G117</f>
        <v>2500</v>
      </c>
      <c r="H116" s="51">
        <f t="shared" ref="H116:I116" si="126">SUM(H117)</f>
        <v>0</v>
      </c>
      <c r="I116" s="51">
        <f t="shared" si="126"/>
        <v>2500</v>
      </c>
      <c r="J116" s="21"/>
      <c r="K116" s="52">
        <f t="shared" ref="K116:L116" si="127">SUM(K117:K128)</f>
        <v>1657.25</v>
      </c>
      <c r="L116" s="52">
        <f t="shared" si="127"/>
        <v>0</v>
      </c>
      <c r="M116" s="52">
        <f t="shared" ref="M116:M117" si="128">K116+L116</f>
        <v>1657.25</v>
      </c>
      <c r="N116" s="21"/>
      <c r="O116" s="53">
        <f t="shared" ref="O116:O117" si="129">M116/I116</f>
        <v>0.66290000000000004</v>
      </c>
      <c r="P116" s="21"/>
      <c r="Q116" s="21"/>
      <c r="R116" s="54">
        <f t="shared" ref="R116:R117" si="130">I116-K116-L116</f>
        <v>842.75</v>
      </c>
      <c r="S116" s="55">
        <f>+S117</f>
        <v>2500</v>
      </c>
      <c r="T116" s="55">
        <f t="shared" ref="T116:U116" si="131">SUM(T117)</f>
        <v>0</v>
      </c>
      <c r="U116" s="55">
        <f t="shared" si="131"/>
        <v>2500</v>
      </c>
      <c r="V116" s="21"/>
      <c r="W116" s="275"/>
      <c r="X116" s="21"/>
      <c r="Y116" s="56"/>
      <c r="Z116" s="49"/>
      <c r="AA116" s="49"/>
      <c r="AB116" s="21"/>
      <c r="AC116" s="21"/>
      <c r="AD116" s="1"/>
      <c r="AE116" s="1"/>
    </row>
    <row r="117" spans="1:31" ht="11.25" customHeight="1">
      <c r="A117" s="49">
        <v>6480001</v>
      </c>
      <c r="B117" s="49"/>
      <c r="C117" s="22" t="s">
        <v>135</v>
      </c>
      <c r="D117" s="21"/>
      <c r="E117" s="21" t="s">
        <v>136</v>
      </c>
      <c r="F117" s="21"/>
      <c r="G117" s="58">
        <v>2500</v>
      </c>
      <c r="H117" s="58">
        <v>0</v>
      </c>
      <c r="I117" s="58">
        <f>SUM(G117:H117)</f>
        <v>2500</v>
      </c>
      <c r="J117" s="21"/>
      <c r="K117" s="23">
        <v>1657.25</v>
      </c>
      <c r="L117" s="23">
        <v>0</v>
      </c>
      <c r="M117" s="23">
        <f t="shared" si="128"/>
        <v>1657.25</v>
      </c>
      <c r="N117" s="21"/>
      <c r="O117" s="59">
        <f t="shared" si="129"/>
        <v>0.66290000000000004</v>
      </c>
      <c r="P117" s="21"/>
      <c r="Q117" s="21"/>
      <c r="R117" s="54">
        <f t="shared" si="130"/>
        <v>842.75</v>
      </c>
      <c r="S117" s="60">
        <v>2500</v>
      </c>
      <c r="T117" s="60">
        <v>0</v>
      </c>
      <c r="U117" s="60">
        <f>SUM(S117:T117)</f>
        <v>2500</v>
      </c>
      <c r="V117" s="21"/>
      <c r="W117" s="275" t="s">
        <v>256</v>
      </c>
      <c r="X117" s="21"/>
      <c r="Y117" s="56"/>
      <c r="Z117" s="49"/>
      <c r="AA117" s="49"/>
      <c r="AB117" s="21"/>
      <c r="AC117" s="21"/>
      <c r="AD117" s="1"/>
      <c r="AE117" s="1"/>
    </row>
    <row r="118" spans="1:31" ht="15.75" customHeight="1">
      <c r="C118" s="88"/>
      <c r="O118" s="89"/>
    </row>
    <row r="119" spans="1:31" ht="15.75" customHeight="1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3"/>
      <c r="P119" s="1"/>
      <c r="Q119" s="1"/>
      <c r="R119" s="1"/>
      <c r="S119" s="1"/>
      <c r="T119" s="1"/>
      <c r="U119" s="1"/>
      <c r="V119" s="1"/>
      <c r="W119" s="290"/>
      <c r="X119" s="1"/>
      <c r="Y119" s="1"/>
      <c r="Z119" s="49"/>
      <c r="AA119" s="49"/>
      <c r="AB119" s="1"/>
      <c r="AC119" s="1"/>
      <c r="AD119" s="1"/>
      <c r="AE119" s="1"/>
    </row>
    <row r="120" spans="1:31" ht="90.75" customHeight="1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3"/>
      <c r="P120" s="1"/>
      <c r="Q120" s="1"/>
      <c r="R120" s="1"/>
      <c r="S120" s="1"/>
      <c r="T120" s="1"/>
      <c r="U120" s="1"/>
      <c r="V120" s="1"/>
      <c r="W120" s="290"/>
      <c r="X120" s="1"/>
      <c r="Y120" s="1"/>
      <c r="Z120" s="49"/>
      <c r="AA120" s="49"/>
      <c r="AB120" s="1"/>
      <c r="AC120" s="1"/>
      <c r="AD120" s="1"/>
      <c r="AE120" s="1"/>
    </row>
    <row r="121" spans="1:31" ht="54" customHeight="1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3"/>
      <c r="P121" s="1"/>
      <c r="Q121" s="1"/>
      <c r="R121" s="1"/>
      <c r="S121" s="1"/>
      <c r="T121" s="1"/>
      <c r="U121" s="1"/>
      <c r="V121" s="1"/>
      <c r="W121" s="290"/>
      <c r="X121" s="1"/>
      <c r="Y121" s="1"/>
      <c r="Z121" s="49"/>
      <c r="AA121" s="49"/>
      <c r="AB121" s="1"/>
      <c r="AC121" s="1"/>
      <c r="AD121" s="1"/>
      <c r="AE121" s="1"/>
    </row>
    <row r="122" spans="1:31" ht="18.7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3"/>
      <c r="P122" s="1"/>
      <c r="Q122" s="1"/>
      <c r="R122" s="4" t="s">
        <v>0</v>
      </c>
      <c r="S122" s="1"/>
      <c r="T122" s="1"/>
      <c r="U122" s="4" t="s">
        <v>0</v>
      </c>
      <c r="V122" s="1"/>
      <c r="W122" s="290"/>
      <c r="X122" s="1"/>
      <c r="Y122" s="1"/>
      <c r="Z122" s="49"/>
      <c r="AA122" s="49"/>
      <c r="AB122" s="1"/>
      <c r="AC122" s="1"/>
      <c r="AD122" s="1"/>
      <c r="AE122" s="1"/>
    </row>
    <row r="123" spans="1:31" ht="7.5" customHeight="1" thickBot="1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3"/>
      <c r="P123" s="1"/>
      <c r="Q123" s="1"/>
      <c r="R123" s="1"/>
      <c r="S123" s="1"/>
      <c r="T123" s="1"/>
      <c r="U123" s="1"/>
      <c r="V123" s="1"/>
      <c r="W123" s="290"/>
      <c r="X123" s="1"/>
      <c r="Y123" s="1"/>
      <c r="Z123" s="49"/>
      <c r="AA123" s="49"/>
      <c r="AB123" s="1"/>
      <c r="AC123" s="1"/>
      <c r="AD123" s="1"/>
      <c r="AE123" s="1"/>
    </row>
    <row r="124" spans="1:31" ht="12.75" customHeight="1">
      <c r="A124" s="396" t="s">
        <v>1</v>
      </c>
      <c r="B124" s="10"/>
      <c r="C124" s="422" t="s">
        <v>2</v>
      </c>
      <c r="D124" s="11"/>
      <c r="E124" s="423" t="s">
        <v>69</v>
      </c>
      <c r="F124" s="11"/>
      <c r="G124" s="376" t="s">
        <v>233</v>
      </c>
      <c r="H124" s="377"/>
      <c r="I124" s="378"/>
      <c r="J124" s="11"/>
      <c r="K124" s="400" t="s">
        <v>234</v>
      </c>
      <c r="L124" s="377"/>
      <c r="M124" s="378"/>
      <c r="N124" s="11"/>
      <c r="O124" s="12" t="s">
        <v>5</v>
      </c>
      <c r="P124" s="11"/>
      <c r="Q124" s="11"/>
      <c r="R124" s="422" t="s">
        <v>37</v>
      </c>
      <c r="S124" s="421" t="s">
        <v>4</v>
      </c>
      <c r="T124" s="377"/>
      <c r="U124" s="378"/>
      <c r="V124" s="11"/>
      <c r="W124" s="299"/>
      <c r="X124" s="13"/>
      <c r="Y124" s="217"/>
      <c r="Z124" s="49"/>
      <c r="AA124" s="49"/>
      <c r="AB124" s="14"/>
      <c r="AC124" s="14"/>
      <c r="AD124" s="15"/>
      <c r="AE124" s="15"/>
    </row>
    <row r="125" spans="1:31" ht="27.75" customHeight="1" thickBot="1">
      <c r="A125" s="397"/>
      <c r="B125" s="10"/>
      <c r="C125" s="410"/>
      <c r="D125" s="14"/>
      <c r="E125" s="424"/>
      <c r="F125" s="14"/>
      <c r="G125" s="379"/>
      <c r="H125" s="380"/>
      <c r="I125" s="381"/>
      <c r="J125" s="14"/>
      <c r="K125" s="379"/>
      <c r="L125" s="380"/>
      <c r="M125" s="381"/>
      <c r="N125" s="14"/>
      <c r="O125" s="17" t="s">
        <v>237</v>
      </c>
      <c r="P125" s="14"/>
      <c r="Q125" s="14"/>
      <c r="R125" s="410"/>
      <c r="S125" s="379"/>
      <c r="T125" s="380"/>
      <c r="U125" s="381"/>
      <c r="V125" s="14"/>
      <c r="W125" s="297"/>
      <c r="X125" s="14"/>
      <c r="Y125" s="67"/>
      <c r="Z125" s="49"/>
      <c r="AA125" s="49"/>
      <c r="AB125" s="14"/>
      <c r="AC125" s="14"/>
      <c r="AD125" s="15"/>
      <c r="AE125" s="15"/>
    </row>
    <row r="126" spans="1:31" ht="13.5" customHeight="1" thickBot="1">
      <c r="A126" s="21"/>
      <c r="B126" s="21"/>
      <c r="C126" s="22"/>
      <c r="D126" s="21"/>
      <c r="E126" s="21"/>
      <c r="F126" s="21"/>
      <c r="G126" s="23" t="s">
        <v>6</v>
      </c>
      <c r="H126" s="23" t="s">
        <v>7</v>
      </c>
      <c r="I126" s="23" t="s">
        <v>8</v>
      </c>
      <c r="J126" s="21"/>
      <c r="K126" s="23" t="s">
        <v>6</v>
      </c>
      <c r="L126" s="23" t="s">
        <v>7</v>
      </c>
      <c r="M126" s="23" t="s">
        <v>8</v>
      </c>
      <c r="N126" s="21"/>
      <c r="O126" s="24"/>
      <c r="P126" s="21"/>
      <c r="Q126" s="21"/>
      <c r="R126" s="23"/>
      <c r="S126" s="23" t="s">
        <v>6</v>
      </c>
      <c r="T126" s="23" t="s">
        <v>7</v>
      </c>
      <c r="U126" s="23" t="s">
        <v>8</v>
      </c>
      <c r="V126" s="21"/>
      <c r="W126" s="275"/>
      <c r="X126" s="21"/>
      <c r="Y126" s="56"/>
      <c r="Z126" s="49"/>
      <c r="AA126" s="49"/>
      <c r="AB126" s="21"/>
      <c r="AC126" s="21"/>
      <c r="AD126" s="25"/>
      <c r="AE126" s="25"/>
    </row>
    <row r="127" spans="1:31" ht="17.25" customHeight="1" thickTop="1" thickBot="1">
      <c r="A127" s="26"/>
      <c r="B127" s="26"/>
      <c r="C127" s="27">
        <v>3</v>
      </c>
      <c r="D127" s="28"/>
      <c r="E127" s="29" t="s">
        <v>137</v>
      </c>
      <c r="F127" s="28"/>
      <c r="G127" s="68">
        <f t="shared" ref="G127:I127" si="132">G129</f>
        <v>0</v>
      </c>
      <c r="H127" s="68">
        <f t="shared" si="132"/>
        <v>0</v>
      </c>
      <c r="I127" s="30">
        <f t="shared" si="132"/>
        <v>0</v>
      </c>
      <c r="J127" s="28"/>
      <c r="K127" s="31">
        <f t="shared" ref="K127:M127" si="133">K129</f>
        <v>0</v>
      </c>
      <c r="L127" s="31">
        <f t="shared" si="133"/>
        <v>0</v>
      </c>
      <c r="M127" s="31">
        <f t="shared" si="133"/>
        <v>0</v>
      </c>
      <c r="N127" s="28"/>
      <c r="O127" s="32">
        <f>O129</f>
        <v>0</v>
      </c>
      <c r="P127" s="28"/>
      <c r="Q127" s="28"/>
      <c r="R127" s="33">
        <f t="shared" ref="R127:U127" si="134">R129</f>
        <v>0</v>
      </c>
      <c r="S127" s="34">
        <f t="shared" si="134"/>
        <v>0</v>
      </c>
      <c r="T127" s="34">
        <f t="shared" si="134"/>
        <v>0</v>
      </c>
      <c r="U127" s="33">
        <f t="shared" si="134"/>
        <v>0</v>
      </c>
      <c r="V127" s="28"/>
      <c r="W127" s="298"/>
      <c r="X127" s="28"/>
      <c r="Y127" s="71"/>
      <c r="Z127" s="49"/>
      <c r="AA127" s="49"/>
      <c r="AB127" s="35"/>
      <c r="AC127" s="35"/>
      <c r="AD127" s="1"/>
      <c r="AE127" s="1"/>
    </row>
    <row r="128" spans="1:31" ht="6" customHeight="1" thickTop="1">
      <c r="A128" s="7"/>
      <c r="B128" s="7"/>
      <c r="C128" s="8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9"/>
      <c r="P128" s="7"/>
      <c r="Q128" s="7"/>
      <c r="R128" s="7"/>
      <c r="S128" s="7"/>
      <c r="T128" s="7"/>
      <c r="U128" s="7"/>
      <c r="V128" s="7"/>
      <c r="W128" s="290"/>
      <c r="X128" s="7"/>
      <c r="Y128" s="48"/>
      <c r="Z128" s="49"/>
      <c r="AA128" s="49"/>
      <c r="AB128" s="7"/>
      <c r="AC128" s="7"/>
      <c r="AD128" s="1"/>
      <c r="AE128" s="1"/>
    </row>
    <row r="129" spans="1:31" ht="12.75" customHeight="1">
      <c r="A129" s="91">
        <v>6632001</v>
      </c>
      <c r="B129" s="91"/>
      <c r="C129" s="36">
        <v>32</v>
      </c>
      <c r="D129" s="7"/>
      <c r="E129" s="14" t="s">
        <v>139</v>
      </c>
      <c r="F129" s="7"/>
      <c r="G129" s="37">
        <v>0</v>
      </c>
      <c r="H129" s="37">
        <v>0</v>
      </c>
      <c r="I129" s="37">
        <v>0</v>
      </c>
      <c r="J129" s="7"/>
      <c r="K129" s="38">
        <v>0</v>
      </c>
      <c r="L129" s="38">
        <v>0</v>
      </c>
      <c r="M129" s="38">
        <v>0</v>
      </c>
      <c r="N129" s="7"/>
      <c r="O129" s="39">
        <v>0</v>
      </c>
      <c r="P129" s="7"/>
      <c r="Q129" s="7"/>
      <c r="R129" s="40"/>
      <c r="S129" s="41">
        <v>0</v>
      </c>
      <c r="T129" s="41">
        <v>0</v>
      </c>
      <c r="U129" s="41">
        <v>0</v>
      </c>
      <c r="V129" s="7"/>
      <c r="W129" s="290"/>
      <c r="X129" s="7"/>
      <c r="Y129" s="7"/>
      <c r="Z129" s="7"/>
      <c r="AA129" s="7"/>
      <c r="AB129" s="7"/>
      <c r="AC129" s="7"/>
      <c r="AD129" s="1"/>
      <c r="AE129" s="1"/>
    </row>
    <row r="130" spans="1:31" ht="13.5" customHeight="1" thickBot="1">
      <c r="A130" s="7"/>
      <c r="B130" s="7"/>
      <c r="C130" s="8"/>
      <c r="D130" s="7"/>
      <c r="E130" s="92"/>
      <c r="F130" s="7"/>
      <c r="G130" s="44"/>
      <c r="H130" s="44"/>
      <c r="I130" s="44"/>
      <c r="J130" s="7"/>
      <c r="K130" s="44"/>
      <c r="L130" s="44"/>
      <c r="M130" s="44"/>
      <c r="N130" s="7"/>
      <c r="O130" s="73"/>
      <c r="P130" s="7"/>
      <c r="Q130" s="7"/>
      <c r="R130" s="44"/>
      <c r="S130" s="44"/>
      <c r="T130" s="44"/>
      <c r="U130" s="44"/>
      <c r="V130" s="7"/>
      <c r="W130" s="290"/>
      <c r="X130" s="7"/>
      <c r="Y130" s="7"/>
      <c r="Z130" s="7"/>
      <c r="AA130" s="7"/>
      <c r="AB130" s="1"/>
      <c r="AC130" s="7"/>
      <c r="AD130" s="1"/>
      <c r="AE130" s="1"/>
    </row>
    <row r="131" spans="1:31" ht="17.25" customHeight="1" thickTop="1" thickBot="1">
      <c r="A131" s="26"/>
      <c r="B131" s="26"/>
      <c r="C131" s="27">
        <v>4</v>
      </c>
      <c r="D131" s="28"/>
      <c r="E131" s="29" t="s">
        <v>140</v>
      </c>
      <c r="F131" s="28"/>
      <c r="G131" s="68">
        <f t="shared" ref="G131:I131" si="135">G133</f>
        <v>12180</v>
      </c>
      <c r="H131" s="68">
        <f t="shared" si="135"/>
        <v>0</v>
      </c>
      <c r="I131" s="30">
        <f t="shared" si="135"/>
        <v>12180</v>
      </c>
      <c r="J131" s="28"/>
      <c r="K131" s="31">
        <f t="shared" ref="K131:M131" si="136">K133</f>
        <v>8914.0499999999993</v>
      </c>
      <c r="L131" s="31">
        <f t="shared" si="136"/>
        <v>0</v>
      </c>
      <c r="M131" s="31">
        <f t="shared" si="136"/>
        <v>8914.0499999999993</v>
      </c>
      <c r="N131" s="28"/>
      <c r="O131" s="32">
        <f>O133</f>
        <v>0.73185960591133004</v>
      </c>
      <c r="P131" s="28"/>
      <c r="Q131" s="28"/>
      <c r="R131" s="33">
        <f t="shared" ref="R131:U131" si="137">R133</f>
        <v>3265.9500000000007</v>
      </c>
      <c r="S131" s="34">
        <f t="shared" si="137"/>
        <v>12180</v>
      </c>
      <c r="T131" s="34">
        <f t="shared" si="137"/>
        <v>0</v>
      </c>
      <c r="U131" s="33">
        <f t="shared" si="137"/>
        <v>12180</v>
      </c>
      <c r="V131" s="28"/>
      <c r="W131" s="298"/>
      <c r="X131" s="28"/>
      <c r="Y131" s="7"/>
      <c r="Z131" s="7"/>
      <c r="AA131" s="7"/>
      <c r="AB131" s="35"/>
      <c r="AC131" s="35"/>
      <c r="AD131" s="1"/>
      <c r="AE131" s="1"/>
    </row>
    <row r="132" spans="1:31" ht="6" customHeight="1" thickTop="1">
      <c r="A132" s="7"/>
      <c r="B132" s="7"/>
      <c r="C132" s="8"/>
      <c r="D132" s="7"/>
      <c r="E132" s="7"/>
      <c r="F132" s="7"/>
      <c r="G132" s="44"/>
      <c r="H132" s="44"/>
      <c r="I132" s="44"/>
      <c r="J132" s="7"/>
      <c r="K132" s="44"/>
      <c r="L132" s="44"/>
      <c r="M132" s="44"/>
      <c r="N132" s="7"/>
      <c r="O132" s="73"/>
      <c r="P132" s="7"/>
      <c r="Q132" s="7"/>
      <c r="R132" s="44"/>
      <c r="S132" s="44"/>
      <c r="T132" s="44"/>
      <c r="U132" s="44"/>
      <c r="V132" s="7"/>
      <c r="W132" s="290"/>
      <c r="X132" s="7"/>
      <c r="Y132" s="7"/>
      <c r="Z132" s="7"/>
      <c r="AA132" s="7"/>
      <c r="AB132" s="1"/>
      <c r="AC132" s="7"/>
      <c r="AD132" s="1"/>
      <c r="AE132" s="1"/>
    </row>
    <row r="133" spans="1:31" ht="12.75" customHeight="1">
      <c r="A133" s="7"/>
      <c r="B133" s="7"/>
      <c r="C133" s="36">
        <v>48</v>
      </c>
      <c r="D133" s="7"/>
      <c r="E133" s="14" t="s">
        <v>141</v>
      </c>
      <c r="F133" s="7"/>
      <c r="G133" s="37">
        <f>+G134</f>
        <v>12180</v>
      </c>
      <c r="H133" s="37">
        <f>SUM(H134)</f>
        <v>0</v>
      </c>
      <c r="I133" s="37">
        <f t="shared" ref="I133:I134" si="138">SUM(G133:H133)</f>
        <v>12180</v>
      </c>
      <c r="J133" s="7"/>
      <c r="K133" s="38">
        <f t="shared" ref="K133:L133" si="139">K134</f>
        <v>8914.0499999999993</v>
      </c>
      <c r="L133" s="38">
        <f t="shared" si="139"/>
        <v>0</v>
      </c>
      <c r="M133" s="38">
        <f t="shared" ref="M133:M134" si="140">L133+K133</f>
        <v>8914.0499999999993</v>
      </c>
      <c r="N133" s="7"/>
      <c r="O133" s="39">
        <f t="shared" ref="O133:O134" si="141">M133/I133</f>
        <v>0.73185960591133004</v>
      </c>
      <c r="P133" s="7"/>
      <c r="Q133" s="7"/>
      <c r="R133" s="40">
        <f t="shared" ref="R133:R134" si="142">I133-K133-L133</f>
        <v>3265.9500000000007</v>
      </c>
      <c r="S133" s="41">
        <f>+S134</f>
        <v>12180</v>
      </c>
      <c r="T133" s="41">
        <f>SUM(T134)</f>
        <v>0</v>
      </c>
      <c r="U133" s="41">
        <f t="shared" ref="U133:U134" si="143">SUM(S133:T133)</f>
        <v>12180</v>
      </c>
      <c r="V133" s="7"/>
      <c r="W133" s="290"/>
      <c r="X133" s="7"/>
      <c r="Y133" s="7"/>
      <c r="Z133" s="7"/>
      <c r="AA133" s="7"/>
      <c r="AB133" s="1"/>
      <c r="AC133" s="7"/>
      <c r="AD133" s="1"/>
      <c r="AE133" s="1"/>
    </row>
    <row r="134" spans="1:31" ht="11.25" customHeight="1">
      <c r="A134" s="49">
        <v>5530001</v>
      </c>
      <c r="B134" s="49"/>
      <c r="C134" s="22">
        <v>480</v>
      </c>
      <c r="D134" s="21"/>
      <c r="E134" s="97" t="s">
        <v>142</v>
      </c>
      <c r="F134" s="21"/>
      <c r="G134" s="58">
        <v>12180</v>
      </c>
      <c r="H134" s="58">
        <v>0</v>
      </c>
      <c r="I134" s="58">
        <f t="shared" si="138"/>
        <v>12180</v>
      </c>
      <c r="J134" s="21"/>
      <c r="K134" s="23">
        <v>8914.0499999999993</v>
      </c>
      <c r="L134" s="23">
        <v>0</v>
      </c>
      <c r="M134" s="23">
        <f t="shared" si="140"/>
        <v>8914.0499999999993</v>
      </c>
      <c r="N134" s="21"/>
      <c r="O134" s="45">
        <f t="shared" si="141"/>
        <v>0.73185960591133004</v>
      </c>
      <c r="P134" s="21"/>
      <c r="Q134" s="21"/>
      <c r="R134" s="61">
        <f t="shared" si="142"/>
        <v>3265.9500000000007</v>
      </c>
      <c r="S134" s="60">
        <v>12180</v>
      </c>
      <c r="T134" s="60">
        <v>0</v>
      </c>
      <c r="U134" s="60">
        <f t="shared" si="143"/>
        <v>12180</v>
      </c>
      <c r="V134" s="21"/>
      <c r="W134" s="275"/>
      <c r="X134" s="21"/>
      <c r="Y134" s="7"/>
      <c r="Z134" s="7"/>
      <c r="AA134" s="7"/>
      <c r="AB134" s="1"/>
      <c r="AC134" s="21"/>
      <c r="AD134" s="1"/>
      <c r="AE134" s="1"/>
    </row>
    <row r="135" spans="1:31" ht="20.25" customHeight="1" thickBot="1">
      <c r="A135" s="49"/>
      <c r="B135" s="49"/>
      <c r="C135" s="8"/>
      <c r="D135" s="21"/>
      <c r="E135" s="7"/>
      <c r="F135" s="21"/>
      <c r="G135" s="44"/>
      <c r="H135" s="44"/>
      <c r="I135" s="44"/>
      <c r="J135" s="21"/>
      <c r="K135" s="44"/>
      <c r="L135" s="44"/>
      <c r="M135" s="44"/>
      <c r="N135" s="21"/>
      <c r="O135" s="73"/>
      <c r="P135" s="21"/>
      <c r="Q135" s="21"/>
      <c r="R135" s="44"/>
      <c r="S135" s="44"/>
      <c r="T135" s="44"/>
      <c r="U135" s="44"/>
      <c r="V135" s="21"/>
      <c r="W135" s="275"/>
      <c r="X135" s="21"/>
      <c r="Y135" s="7"/>
      <c r="Z135" s="7"/>
      <c r="AA135" s="7"/>
      <c r="AB135" s="1"/>
      <c r="AC135" s="7"/>
      <c r="AD135" s="1"/>
      <c r="AE135" s="1"/>
    </row>
    <row r="136" spans="1:31" ht="17.25" customHeight="1" thickTop="1" thickBot="1">
      <c r="A136" s="26"/>
      <c r="B136" s="26"/>
      <c r="C136" s="27">
        <v>6</v>
      </c>
      <c r="D136" s="28"/>
      <c r="E136" s="29" t="s">
        <v>143</v>
      </c>
      <c r="F136" s="28"/>
      <c r="G136" s="68">
        <f t="shared" ref="G136:I136" si="144">SUM(G138,G145)</f>
        <v>1500</v>
      </c>
      <c r="H136" s="68">
        <f t="shared" si="144"/>
        <v>0</v>
      </c>
      <c r="I136" s="30">
        <f t="shared" si="144"/>
        <v>1500</v>
      </c>
      <c r="J136" s="28"/>
      <c r="K136" s="31">
        <f t="shared" ref="K136:L136" si="145">SUM(K138,K145)</f>
        <v>521.09999999999991</v>
      </c>
      <c r="L136" s="31">
        <f t="shared" si="145"/>
        <v>502.37</v>
      </c>
      <c r="M136" s="31">
        <f>M138</f>
        <v>791.77</v>
      </c>
      <c r="N136" s="28"/>
      <c r="O136" s="32">
        <f>O138</f>
        <v>0.79176999999999997</v>
      </c>
      <c r="P136" s="28"/>
      <c r="Q136" s="28"/>
      <c r="R136" s="33">
        <f t="shared" ref="R136:U136" si="146">SUM(R138,R145)</f>
        <v>476.53000000000003</v>
      </c>
      <c r="S136" s="34">
        <f t="shared" si="146"/>
        <v>2000</v>
      </c>
      <c r="T136" s="34">
        <f t="shared" si="146"/>
        <v>0</v>
      </c>
      <c r="U136" s="33">
        <f t="shared" si="146"/>
        <v>2000</v>
      </c>
      <c r="V136" s="28"/>
      <c r="W136" s="298"/>
      <c r="X136" s="28"/>
      <c r="Y136" s="7"/>
      <c r="Z136" s="7"/>
      <c r="AA136" s="7"/>
      <c r="AB136" s="35"/>
      <c r="AC136" s="35"/>
      <c r="AD136" s="1"/>
      <c r="AE136" s="1"/>
    </row>
    <row r="137" spans="1:31" ht="6" customHeight="1" thickTop="1">
      <c r="A137" s="49"/>
      <c r="B137" s="49"/>
      <c r="C137" s="8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9"/>
      <c r="P137" s="7"/>
      <c r="Q137" s="7"/>
      <c r="R137" s="7"/>
      <c r="S137" s="7"/>
      <c r="T137" s="7"/>
      <c r="U137" s="7"/>
      <c r="V137" s="7"/>
      <c r="W137" s="290"/>
      <c r="X137" s="7"/>
      <c r="Y137" s="7"/>
      <c r="Z137" s="7"/>
      <c r="AA137" s="7"/>
      <c r="AB137" s="1"/>
      <c r="AC137" s="7"/>
      <c r="AD137" s="1"/>
      <c r="AE137" s="1"/>
    </row>
    <row r="138" spans="1:31" ht="12.75" customHeight="1">
      <c r="A138" s="49"/>
      <c r="B138" s="49"/>
      <c r="C138" s="36">
        <v>60</v>
      </c>
      <c r="D138" s="7"/>
      <c r="E138" s="14" t="s">
        <v>144</v>
      </c>
      <c r="F138" s="7"/>
      <c r="G138" s="37">
        <f t="shared" ref="G138:I138" si="147">SUM(G139:G143)</f>
        <v>1000</v>
      </c>
      <c r="H138" s="37">
        <f t="shared" si="147"/>
        <v>0</v>
      </c>
      <c r="I138" s="37">
        <f t="shared" si="147"/>
        <v>1000</v>
      </c>
      <c r="J138" s="7"/>
      <c r="K138" s="38">
        <f t="shared" ref="K138:L138" si="148">SUM(K139:K143)</f>
        <v>289.39999999999998</v>
      </c>
      <c r="L138" s="38">
        <f t="shared" si="148"/>
        <v>502.37</v>
      </c>
      <c r="M138" s="38">
        <f>L138+K138</f>
        <v>791.77</v>
      </c>
      <c r="N138" s="7"/>
      <c r="O138" s="39">
        <f>M138/I138</f>
        <v>0.79176999999999997</v>
      </c>
      <c r="P138" s="7"/>
      <c r="Q138" s="7"/>
      <c r="R138" s="40">
        <f>I138-K138-L138</f>
        <v>208.23000000000002</v>
      </c>
      <c r="S138" s="41">
        <f t="shared" ref="S138:U138" si="149">SUM(S139:S143)</f>
        <v>1500</v>
      </c>
      <c r="T138" s="41">
        <f t="shared" si="149"/>
        <v>0</v>
      </c>
      <c r="U138" s="41">
        <f t="shared" si="149"/>
        <v>1500</v>
      </c>
      <c r="V138" s="7"/>
      <c r="W138" s="290"/>
      <c r="X138" s="7"/>
      <c r="Y138" s="7"/>
      <c r="Z138" s="7"/>
      <c r="AA138" s="7"/>
      <c r="AB138" s="1"/>
      <c r="AC138" s="7"/>
      <c r="AD138" s="1"/>
      <c r="AE138" s="1"/>
    </row>
    <row r="139" spans="1:31" ht="11.25" customHeight="1">
      <c r="A139" s="49">
        <v>2200001</v>
      </c>
      <c r="B139" s="49"/>
      <c r="C139" s="22">
        <v>600</v>
      </c>
      <c r="D139" s="21"/>
      <c r="E139" s="21" t="s">
        <v>147</v>
      </c>
      <c r="F139" s="21"/>
      <c r="G139" s="58">
        <v>0</v>
      </c>
      <c r="H139" s="58">
        <v>0</v>
      </c>
      <c r="I139" s="37">
        <f t="shared" ref="I139:I143" si="150">SUM(G139:H139)</f>
        <v>0</v>
      </c>
      <c r="J139" s="21"/>
      <c r="K139" s="23">
        <v>0</v>
      </c>
      <c r="L139" s="23">
        <v>0</v>
      </c>
      <c r="M139" s="23">
        <v>0</v>
      </c>
      <c r="N139" s="21"/>
      <c r="O139" s="59">
        <v>0</v>
      </c>
      <c r="P139" s="21"/>
      <c r="Q139" s="21"/>
      <c r="R139" s="40"/>
      <c r="S139" s="60">
        <v>0</v>
      </c>
      <c r="T139" s="60">
        <v>0</v>
      </c>
      <c r="U139" s="60">
        <f t="shared" ref="U139:U143" si="151">SUM(S139:T139)</f>
        <v>0</v>
      </c>
      <c r="V139" s="21"/>
      <c r="W139" s="275"/>
      <c r="X139" s="21"/>
      <c r="Y139" s="7"/>
      <c r="Z139" s="7"/>
      <c r="AA139" s="7"/>
      <c r="AB139" s="1"/>
      <c r="AC139" s="21"/>
      <c r="AD139" s="1"/>
      <c r="AE139" s="1"/>
    </row>
    <row r="140" spans="1:31" ht="11.25" customHeight="1">
      <c r="A140" s="49">
        <v>2210001</v>
      </c>
      <c r="B140" s="49"/>
      <c r="C140" s="22">
        <v>602</v>
      </c>
      <c r="D140" s="21"/>
      <c r="E140" s="21" t="s">
        <v>148</v>
      </c>
      <c r="F140" s="21"/>
      <c r="G140" s="58">
        <v>0</v>
      </c>
      <c r="H140" s="58">
        <v>0</v>
      </c>
      <c r="I140" s="37">
        <f t="shared" si="150"/>
        <v>0</v>
      </c>
      <c r="J140" s="21"/>
      <c r="K140" s="23">
        <v>0</v>
      </c>
      <c r="L140" s="23">
        <v>0</v>
      </c>
      <c r="M140" s="23">
        <v>0</v>
      </c>
      <c r="N140" s="21"/>
      <c r="O140" s="59">
        <v>0</v>
      </c>
      <c r="P140" s="21"/>
      <c r="Q140" s="21"/>
      <c r="R140" s="40"/>
      <c r="S140" s="60">
        <v>0</v>
      </c>
      <c r="T140" s="60">
        <v>0</v>
      </c>
      <c r="U140" s="60">
        <f t="shared" si="151"/>
        <v>0</v>
      </c>
      <c r="V140" s="21"/>
      <c r="W140" s="275" t="s">
        <v>149</v>
      </c>
      <c r="X140" s="21"/>
      <c r="Y140" s="56"/>
      <c r="Z140" s="49"/>
      <c r="AA140" s="1"/>
      <c r="AB140" s="1"/>
      <c r="AC140" s="21"/>
      <c r="AD140" s="1"/>
      <c r="AE140" s="1"/>
    </row>
    <row r="141" spans="1:31" ht="11.25" customHeight="1">
      <c r="A141" s="49">
        <v>2260001</v>
      </c>
      <c r="B141" s="49"/>
      <c r="C141" s="22">
        <v>606</v>
      </c>
      <c r="D141" s="21"/>
      <c r="E141" s="21" t="s">
        <v>43</v>
      </c>
      <c r="F141" s="21"/>
      <c r="G141" s="58">
        <v>0</v>
      </c>
      <c r="H141" s="58">
        <v>0</v>
      </c>
      <c r="I141" s="37">
        <f t="shared" si="150"/>
        <v>0</v>
      </c>
      <c r="J141" s="21"/>
      <c r="K141" s="23">
        <v>0</v>
      </c>
      <c r="L141" s="23">
        <v>502.37</v>
      </c>
      <c r="M141" s="23">
        <f>K141+L141</f>
        <v>502.37</v>
      </c>
      <c r="N141" s="21"/>
      <c r="O141" s="59"/>
      <c r="P141" s="21"/>
      <c r="Q141" s="21"/>
      <c r="R141" s="40">
        <f t="shared" ref="R141:R142" si="152">I141-K141-L141</f>
        <v>-502.37</v>
      </c>
      <c r="S141" s="60">
        <v>500</v>
      </c>
      <c r="T141" s="60">
        <v>0</v>
      </c>
      <c r="U141" s="60">
        <f t="shared" si="151"/>
        <v>500</v>
      </c>
      <c r="V141" s="21"/>
      <c r="W141" s="275" t="s">
        <v>150</v>
      </c>
      <c r="X141" s="21"/>
      <c r="Y141" s="56"/>
      <c r="Z141" s="49"/>
      <c r="AA141" s="21"/>
      <c r="AB141" s="21"/>
      <c r="AC141" s="21"/>
      <c r="AD141" s="1"/>
      <c r="AE141" s="1"/>
    </row>
    <row r="142" spans="1:31" ht="11.25" customHeight="1">
      <c r="A142" s="49">
        <v>2270001</v>
      </c>
      <c r="B142" s="49"/>
      <c r="C142" s="22">
        <v>607</v>
      </c>
      <c r="D142" s="21"/>
      <c r="E142" s="21" t="s">
        <v>151</v>
      </c>
      <c r="F142" s="21"/>
      <c r="G142" s="58">
        <v>1000</v>
      </c>
      <c r="H142" s="58">
        <v>0</v>
      </c>
      <c r="I142" s="37">
        <f t="shared" si="150"/>
        <v>1000</v>
      </c>
      <c r="J142" s="21"/>
      <c r="K142" s="23">
        <v>289.39999999999998</v>
      </c>
      <c r="L142" s="23">
        <f>SUM(L143:L147)</f>
        <v>0</v>
      </c>
      <c r="M142" s="23">
        <f>L142+K142</f>
        <v>289.39999999999998</v>
      </c>
      <c r="N142" s="21"/>
      <c r="O142" s="59">
        <f>M142/I142</f>
        <v>0.28939999999999999</v>
      </c>
      <c r="P142" s="21"/>
      <c r="Q142" s="21"/>
      <c r="R142" s="40">
        <f t="shared" si="152"/>
        <v>710.6</v>
      </c>
      <c r="S142" s="60">
        <v>1000</v>
      </c>
      <c r="T142" s="60">
        <v>0</v>
      </c>
      <c r="U142" s="60">
        <f t="shared" si="151"/>
        <v>1000</v>
      </c>
      <c r="V142" s="21"/>
      <c r="W142" s="275" t="s">
        <v>424</v>
      </c>
      <c r="X142" s="21"/>
      <c r="Y142" s="56"/>
      <c r="Z142" s="49"/>
      <c r="AA142" s="21"/>
      <c r="AB142" s="21"/>
      <c r="AC142" s="21"/>
      <c r="AD142" s="1"/>
      <c r="AE142" s="1"/>
    </row>
    <row r="143" spans="1:31" ht="11.25" customHeight="1">
      <c r="A143" s="49">
        <v>2290001</v>
      </c>
      <c r="B143" s="49"/>
      <c r="C143" s="22">
        <v>609</v>
      </c>
      <c r="D143" s="21"/>
      <c r="E143" s="21" t="s">
        <v>152</v>
      </c>
      <c r="F143" s="21"/>
      <c r="G143" s="58">
        <v>0</v>
      </c>
      <c r="H143" s="58">
        <v>0</v>
      </c>
      <c r="I143" s="37">
        <f t="shared" si="150"/>
        <v>0</v>
      </c>
      <c r="J143" s="21"/>
      <c r="K143" s="23">
        <v>0</v>
      </c>
      <c r="L143" s="23">
        <v>0</v>
      </c>
      <c r="M143" s="23">
        <v>0</v>
      </c>
      <c r="N143" s="21"/>
      <c r="O143" s="59">
        <v>0</v>
      </c>
      <c r="P143" s="21"/>
      <c r="Q143" s="21"/>
      <c r="R143" s="40"/>
      <c r="S143" s="60">
        <v>0</v>
      </c>
      <c r="T143" s="60">
        <v>0</v>
      </c>
      <c r="U143" s="60">
        <f t="shared" si="151"/>
        <v>0</v>
      </c>
      <c r="V143" s="21"/>
      <c r="W143" s="275"/>
      <c r="X143" s="21"/>
      <c r="Y143" s="56"/>
      <c r="Z143" s="49"/>
      <c r="AA143" s="21"/>
      <c r="AB143" s="21"/>
      <c r="AC143" s="21"/>
      <c r="AD143" s="1"/>
      <c r="AE143" s="1"/>
    </row>
    <row r="144" spans="1:31" ht="12.75" customHeight="1">
      <c r="A144" s="49"/>
      <c r="B144" s="49"/>
      <c r="C144" s="8"/>
      <c r="D144" s="7"/>
      <c r="E144" s="7"/>
      <c r="F144" s="7"/>
      <c r="G144" s="43"/>
      <c r="H144" s="43"/>
      <c r="I144" s="43"/>
      <c r="J144" s="7"/>
      <c r="K144" s="44"/>
      <c r="L144" s="44"/>
      <c r="M144" s="44"/>
      <c r="N144" s="7"/>
      <c r="O144" s="45"/>
      <c r="P144" s="7"/>
      <c r="Q144" s="7"/>
      <c r="R144" s="46"/>
      <c r="S144" s="47"/>
      <c r="T144" s="47"/>
      <c r="U144" s="47"/>
      <c r="V144" s="7"/>
      <c r="W144" s="290"/>
      <c r="X144" s="7"/>
      <c r="Y144" s="48"/>
      <c r="Z144" s="7"/>
      <c r="AA144" s="7"/>
      <c r="AB144" s="7"/>
      <c r="AC144" s="7"/>
      <c r="AD144" s="1"/>
      <c r="AE144" s="1"/>
    </row>
    <row r="145" spans="1:31" ht="12.75" customHeight="1">
      <c r="A145" s="49"/>
      <c r="B145" s="49"/>
      <c r="C145" s="36">
        <v>61</v>
      </c>
      <c r="D145" s="7"/>
      <c r="E145" s="14" t="s">
        <v>153</v>
      </c>
      <c r="F145" s="7"/>
      <c r="G145" s="37">
        <f t="shared" ref="G145:H145" si="153">G146</f>
        <v>500</v>
      </c>
      <c r="H145" s="37">
        <f t="shared" si="153"/>
        <v>0</v>
      </c>
      <c r="I145" s="37">
        <f>SUM(I146)</f>
        <v>500</v>
      </c>
      <c r="J145" s="7"/>
      <c r="K145" s="38">
        <f>SUM(K146)</f>
        <v>231.7</v>
      </c>
      <c r="L145" s="38">
        <f>SUM(L146:L150)</f>
        <v>0</v>
      </c>
      <c r="M145" s="38">
        <f t="shared" ref="M145:M146" si="154">L145+K145</f>
        <v>231.7</v>
      </c>
      <c r="N145" s="7"/>
      <c r="O145" s="39">
        <f t="shared" ref="O145:O146" si="155">M145/I145</f>
        <v>0.46339999999999998</v>
      </c>
      <c r="P145" s="7"/>
      <c r="Q145" s="7"/>
      <c r="R145" s="40">
        <f t="shared" ref="R145:R146" si="156">I145-K145-L145</f>
        <v>268.3</v>
      </c>
      <c r="S145" s="41">
        <f t="shared" ref="S145:T145" si="157">S146</f>
        <v>500</v>
      </c>
      <c r="T145" s="41">
        <f t="shared" si="157"/>
        <v>0</v>
      </c>
      <c r="U145" s="41">
        <f>SUM(U146)</f>
        <v>500</v>
      </c>
      <c r="V145" s="7"/>
      <c r="W145" s="290"/>
      <c r="X145" s="7"/>
      <c r="Y145" s="49"/>
      <c r="Z145" s="49"/>
      <c r="AA145" s="49"/>
      <c r="AB145" s="7"/>
      <c r="AC145" s="7"/>
      <c r="AD145" s="1"/>
      <c r="AE145" s="1"/>
    </row>
    <row r="146" spans="1:31" ht="12.75" customHeight="1">
      <c r="A146" s="49">
        <v>2150001</v>
      </c>
      <c r="B146" s="49"/>
      <c r="C146" s="22">
        <v>615</v>
      </c>
      <c r="D146" s="21"/>
      <c r="E146" s="21" t="s">
        <v>154</v>
      </c>
      <c r="F146" s="21"/>
      <c r="G146" s="58">
        <v>500</v>
      </c>
      <c r="H146" s="58">
        <v>0</v>
      </c>
      <c r="I146" s="58">
        <f>SUM(G146:H146)</f>
        <v>500</v>
      </c>
      <c r="J146" s="21"/>
      <c r="K146" s="23">
        <v>231.7</v>
      </c>
      <c r="L146" s="23">
        <v>0</v>
      </c>
      <c r="M146" s="23">
        <f t="shared" si="154"/>
        <v>231.7</v>
      </c>
      <c r="N146" s="21"/>
      <c r="O146" s="59">
        <f t="shared" si="155"/>
        <v>0.46339999999999998</v>
      </c>
      <c r="P146" s="21"/>
      <c r="Q146" s="21"/>
      <c r="R146" s="61">
        <f t="shared" si="156"/>
        <v>268.3</v>
      </c>
      <c r="S146" s="60">
        <v>500</v>
      </c>
      <c r="T146" s="60">
        <v>0</v>
      </c>
      <c r="U146" s="60">
        <f>SUM(S146:T146)</f>
        <v>500</v>
      </c>
      <c r="V146" s="21"/>
      <c r="W146" s="275" t="s">
        <v>155</v>
      </c>
      <c r="X146" s="21"/>
      <c r="Y146" s="49"/>
      <c r="Z146" s="49"/>
      <c r="AA146" s="49"/>
      <c r="AB146" s="21"/>
      <c r="AC146" s="21"/>
      <c r="AD146" s="1"/>
      <c r="AE146" s="1"/>
    </row>
    <row r="147" spans="1:31" ht="13.5" customHeight="1" thickBot="1">
      <c r="A147" s="7"/>
      <c r="B147" s="7"/>
      <c r="C147" s="8"/>
      <c r="D147" s="7"/>
      <c r="E147" s="7"/>
      <c r="F147" s="7"/>
      <c r="G147" s="44"/>
      <c r="H147" s="44"/>
      <c r="I147" s="44"/>
      <c r="J147" s="7"/>
      <c r="K147" s="44"/>
      <c r="L147" s="44"/>
      <c r="M147" s="44"/>
      <c r="N147" s="7"/>
      <c r="O147" s="73"/>
      <c r="P147" s="7"/>
      <c r="Q147" s="7"/>
      <c r="R147" s="44"/>
      <c r="S147" s="44"/>
      <c r="T147" s="44"/>
      <c r="U147" s="44"/>
      <c r="V147" s="7"/>
      <c r="W147" s="290"/>
      <c r="X147" s="7"/>
      <c r="Y147" s="49"/>
      <c r="Z147" s="49"/>
      <c r="AA147" s="49"/>
      <c r="AB147" s="7"/>
      <c r="AC147" s="7"/>
      <c r="AD147" s="1"/>
      <c r="AE147" s="1"/>
    </row>
    <row r="148" spans="1:31" ht="17.25" customHeight="1" thickTop="1" thickBot="1">
      <c r="A148" s="26"/>
      <c r="B148" s="26"/>
      <c r="C148" s="27">
        <v>8</v>
      </c>
      <c r="D148" s="28"/>
      <c r="E148" s="29" t="s">
        <v>145</v>
      </c>
      <c r="F148" s="28"/>
      <c r="G148" s="68">
        <v>0</v>
      </c>
      <c r="H148" s="68">
        <v>0</v>
      </c>
      <c r="I148" s="30">
        <v>0</v>
      </c>
      <c r="J148" s="28"/>
      <c r="K148" s="31"/>
      <c r="L148" s="31"/>
      <c r="M148" s="31"/>
      <c r="N148" s="28"/>
      <c r="O148" s="102"/>
      <c r="P148" s="28"/>
      <c r="Q148" s="28"/>
      <c r="R148" s="33"/>
      <c r="S148" s="34">
        <v>0</v>
      </c>
      <c r="T148" s="34">
        <v>0</v>
      </c>
      <c r="U148" s="33">
        <v>0</v>
      </c>
      <c r="V148" s="28"/>
      <c r="W148" s="298"/>
      <c r="X148" s="28"/>
      <c r="Y148" s="49"/>
      <c r="Z148" s="49"/>
      <c r="AA148" s="49"/>
      <c r="AB148" s="35"/>
      <c r="AC148" s="35"/>
      <c r="AD148" s="1"/>
      <c r="AE148" s="1"/>
    </row>
    <row r="149" spans="1:31" ht="6" customHeight="1" thickTop="1">
      <c r="A149" s="7"/>
      <c r="B149" s="7"/>
      <c r="C149" s="8"/>
      <c r="D149" s="7"/>
      <c r="E149" s="7"/>
      <c r="F149" s="7"/>
      <c r="G149" s="44"/>
      <c r="H149" s="44"/>
      <c r="I149" s="44"/>
      <c r="J149" s="7"/>
      <c r="K149" s="44"/>
      <c r="L149" s="44"/>
      <c r="M149" s="44"/>
      <c r="N149" s="7"/>
      <c r="O149" s="73"/>
      <c r="P149" s="7"/>
      <c r="Q149" s="7"/>
      <c r="R149" s="44"/>
      <c r="S149" s="44"/>
      <c r="T149" s="44"/>
      <c r="U149" s="44"/>
      <c r="V149" s="7"/>
      <c r="W149" s="290"/>
      <c r="X149" s="7"/>
      <c r="Y149" s="49"/>
      <c r="Z149" s="49"/>
      <c r="AA149" s="49"/>
      <c r="AB149" s="7"/>
      <c r="AC149" s="7"/>
      <c r="AD149" s="1"/>
      <c r="AE149" s="1"/>
    </row>
    <row r="150" spans="1:31" ht="12.75" customHeight="1">
      <c r="A150" s="11">
        <v>2510001</v>
      </c>
      <c r="B150" s="11"/>
      <c r="C150" s="36">
        <v>80</v>
      </c>
      <c r="D150" s="14"/>
      <c r="E150" s="14" t="s">
        <v>156</v>
      </c>
      <c r="F150" s="14"/>
      <c r="G150" s="37">
        <v>0</v>
      </c>
      <c r="H150" s="37">
        <v>0</v>
      </c>
      <c r="I150" s="37">
        <f t="shared" ref="I150:I159" si="158">SUM(G150:H150)</f>
        <v>0</v>
      </c>
      <c r="J150" s="14"/>
      <c r="K150" s="38"/>
      <c r="L150" s="38"/>
      <c r="M150" s="38"/>
      <c r="N150" s="14"/>
      <c r="O150" s="105"/>
      <c r="P150" s="14"/>
      <c r="Q150" s="14"/>
      <c r="R150" s="40"/>
      <c r="S150" s="41">
        <v>0</v>
      </c>
      <c r="T150" s="41">
        <v>0</v>
      </c>
      <c r="U150" s="41">
        <f t="shared" ref="U150:U159" si="159">SUM(S150:T150)</f>
        <v>0</v>
      </c>
      <c r="V150" s="14"/>
      <c r="W150" s="297"/>
      <c r="X150" s="14"/>
      <c r="Y150" s="49"/>
      <c r="Z150" s="49"/>
      <c r="AA150" s="49"/>
      <c r="AB150" s="14"/>
      <c r="AC150" s="14"/>
      <c r="AD150" s="1"/>
      <c r="AE150" s="1"/>
    </row>
    <row r="151" spans="1:31" ht="12.75" customHeight="1">
      <c r="A151" s="11"/>
      <c r="B151" s="11"/>
      <c r="C151" s="36">
        <v>81</v>
      </c>
      <c r="D151" s="14"/>
      <c r="E151" s="14" t="s">
        <v>157</v>
      </c>
      <c r="F151" s="14"/>
      <c r="G151" s="37">
        <v>0</v>
      </c>
      <c r="H151" s="37">
        <v>0</v>
      </c>
      <c r="I151" s="37">
        <f t="shared" si="158"/>
        <v>0</v>
      </c>
      <c r="J151" s="14"/>
      <c r="K151" s="38"/>
      <c r="L151" s="38"/>
      <c r="M151" s="38"/>
      <c r="N151" s="14"/>
      <c r="O151" s="105"/>
      <c r="P151" s="14"/>
      <c r="Q151" s="14"/>
      <c r="R151" s="40"/>
      <c r="S151" s="41">
        <v>0</v>
      </c>
      <c r="T151" s="41">
        <v>0</v>
      </c>
      <c r="U151" s="41">
        <f t="shared" si="159"/>
        <v>0</v>
      </c>
      <c r="V151" s="14"/>
      <c r="W151" s="297"/>
      <c r="X151" s="14"/>
      <c r="Y151" s="49"/>
      <c r="Z151" s="49"/>
      <c r="AA151" s="49"/>
      <c r="AB151" s="1"/>
      <c r="AC151" s="14"/>
      <c r="AD151" s="1"/>
      <c r="AE151" s="1"/>
    </row>
    <row r="152" spans="1:31" ht="11.25" customHeight="1">
      <c r="A152" s="49">
        <v>5400001</v>
      </c>
      <c r="B152" s="49"/>
      <c r="C152" s="22" t="s">
        <v>158</v>
      </c>
      <c r="D152" s="21"/>
      <c r="E152" s="21" t="s">
        <v>159</v>
      </c>
      <c r="F152" s="21"/>
      <c r="G152" s="58">
        <v>0</v>
      </c>
      <c r="H152" s="58">
        <v>0</v>
      </c>
      <c r="I152" s="58">
        <f t="shared" si="158"/>
        <v>0</v>
      </c>
      <c r="J152" s="21"/>
      <c r="K152" s="23"/>
      <c r="L152" s="23"/>
      <c r="M152" s="23"/>
      <c r="N152" s="21"/>
      <c r="O152" s="24"/>
      <c r="P152" s="21"/>
      <c r="Q152" s="21"/>
      <c r="R152" s="61"/>
      <c r="S152" s="60">
        <v>0</v>
      </c>
      <c r="T152" s="60">
        <v>0</v>
      </c>
      <c r="U152" s="60">
        <f t="shared" si="159"/>
        <v>0</v>
      </c>
      <c r="V152" s="21"/>
      <c r="W152" s="275"/>
      <c r="X152" s="21"/>
      <c r="Y152" s="49"/>
      <c r="Z152" s="49"/>
      <c r="AA152" s="49"/>
      <c r="AB152" s="1"/>
      <c r="AC152" s="21"/>
      <c r="AD152" s="1"/>
      <c r="AE152" s="1"/>
    </row>
    <row r="153" spans="1:31" ht="11.25" customHeight="1">
      <c r="A153" s="49">
        <v>2510002</v>
      </c>
      <c r="B153" s="49"/>
      <c r="C153" s="22" t="s">
        <v>161</v>
      </c>
      <c r="D153" s="21"/>
      <c r="E153" s="21" t="s">
        <v>162</v>
      </c>
      <c r="F153" s="21"/>
      <c r="G153" s="58">
        <v>0</v>
      </c>
      <c r="H153" s="58">
        <v>0</v>
      </c>
      <c r="I153" s="58">
        <f t="shared" si="158"/>
        <v>0</v>
      </c>
      <c r="J153" s="21"/>
      <c r="K153" s="23"/>
      <c r="L153" s="23"/>
      <c r="M153" s="23"/>
      <c r="N153" s="21"/>
      <c r="O153" s="24"/>
      <c r="P153" s="21"/>
      <c r="Q153" s="21"/>
      <c r="R153" s="61"/>
      <c r="S153" s="60">
        <v>0</v>
      </c>
      <c r="T153" s="60">
        <v>0</v>
      </c>
      <c r="U153" s="60">
        <f t="shared" si="159"/>
        <v>0</v>
      </c>
      <c r="V153" s="21"/>
      <c r="W153" s="275"/>
      <c r="X153" s="21"/>
      <c r="Y153" s="49"/>
      <c r="Z153" s="49"/>
      <c r="AA153" s="49"/>
      <c r="AB153" s="1"/>
      <c r="AC153" s="21"/>
      <c r="AD153" s="1"/>
      <c r="AE153" s="1"/>
    </row>
    <row r="154" spans="1:31" ht="12.75" customHeight="1">
      <c r="A154" s="11"/>
      <c r="B154" s="11"/>
      <c r="C154" s="36">
        <v>82</v>
      </c>
      <c r="D154" s="14"/>
      <c r="E154" s="14" t="s">
        <v>163</v>
      </c>
      <c r="F154" s="14"/>
      <c r="G154" s="37">
        <v>0</v>
      </c>
      <c r="H154" s="37">
        <v>0</v>
      </c>
      <c r="I154" s="37">
        <f t="shared" si="158"/>
        <v>0</v>
      </c>
      <c r="J154" s="14"/>
      <c r="K154" s="38"/>
      <c r="L154" s="38"/>
      <c r="M154" s="38"/>
      <c r="N154" s="14"/>
      <c r="O154" s="105"/>
      <c r="P154" s="14"/>
      <c r="Q154" s="14"/>
      <c r="R154" s="40"/>
      <c r="S154" s="41">
        <v>0</v>
      </c>
      <c r="T154" s="41">
        <v>0</v>
      </c>
      <c r="U154" s="41">
        <f t="shared" si="159"/>
        <v>0</v>
      </c>
      <c r="V154" s="14"/>
      <c r="W154" s="297"/>
      <c r="X154" s="14"/>
      <c r="Y154" s="49"/>
      <c r="Z154" s="49"/>
      <c r="AA154" s="49"/>
      <c r="AB154" s="1"/>
      <c r="AC154" s="14"/>
      <c r="AD154" s="1"/>
      <c r="AE154" s="1"/>
    </row>
    <row r="155" spans="1:31" ht="11.25" customHeight="1">
      <c r="A155" s="49">
        <v>5420001</v>
      </c>
      <c r="B155" s="49"/>
      <c r="C155" s="22" t="s">
        <v>166</v>
      </c>
      <c r="D155" s="21"/>
      <c r="E155" s="21" t="s">
        <v>167</v>
      </c>
      <c r="F155" s="21"/>
      <c r="G155" s="58">
        <v>0</v>
      </c>
      <c r="H155" s="58">
        <v>0</v>
      </c>
      <c r="I155" s="58">
        <f t="shared" si="158"/>
        <v>0</v>
      </c>
      <c r="J155" s="21"/>
      <c r="K155" s="23"/>
      <c r="L155" s="23"/>
      <c r="M155" s="23"/>
      <c r="N155" s="21"/>
      <c r="O155" s="24"/>
      <c r="P155" s="21"/>
      <c r="Q155" s="21"/>
      <c r="R155" s="61"/>
      <c r="S155" s="60">
        <v>0</v>
      </c>
      <c r="T155" s="60">
        <v>0</v>
      </c>
      <c r="U155" s="60">
        <f t="shared" si="159"/>
        <v>0</v>
      </c>
      <c r="V155" s="21"/>
      <c r="W155" s="275"/>
      <c r="X155" s="21"/>
      <c r="Y155" s="49"/>
      <c r="Z155" s="49"/>
      <c r="AA155" s="49"/>
      <c r="AB155" s="1"/>
      <c r="AC155" s="21"/>
      <c r="AD155" s="1"/>
      <c r="AE155" s="1"/>
    </row>
    <row r="156" spans="1:31" ht="11.25" customHeight="1">
      <c r="A156" s="49">
        <v>2520001</v>
      </c>
      <c r="B156" s="49"/>
      <c r="C156" s="22" t="s">
        <v>168</v>
      </c>
      <c r="D156" s="21"/>
      <c r="E156" s="21" t="s">
        <v>162</v>
      </c>
      <c r="F156" s="21"/>
      <c r="G156" s="58">
        <v>0</v>
      </c>
      <c r="H156" s="58">
        <v>0</v>
      </c>
      <c r="I156" s="58">
        <f t="shared" si="158"/>
        <v>0</v>
      </c>
      <c r="J156" s="21"/>
      <c r="K156" s="23"/>
      <c r="L156" s="23"/>
      <c r="M156" s="23"/>
      <c r="N156" s="21"/>
      <c r="O156" s="24"/>
      <c r="P156" s="21"/>
      <c r="Q156" s="21"/>
      <c r="R156" s="61"/>
      <c r="S156" s="60">
        <v>0</v>
      </c>
      <c r="T156" s="60">
        <v>0</v>
      </c>
      <c r="U156" s="60">
        <f t="shared" si="159"/>
        <v>0</v>
      </c>
      <c r="V156" s="21"/>
      <c r="W156" s="275"/>
      <c r="X156" s="21"/>
      <c r="Y156" s="49"/>
      <c r="Z156" s="49"/>
      <c r="AA156" s="49"/>
      <c r="AB156" s="1"/>
      <c r="AC156" s="21"/>
      <c r="AD156" s="1"/>
      <c r="AE156" s="1"/>
    </row>
    <row r="157" spans="1:31" ht="12.75" customHeight="1">
      <c r="A157" s="11"/>
      <c r="B157" s="11"/>
      <c r="C157" s="36">
        <v>83</v>
      </c>
      <c r="D157" s="14"/>
      <c r="E157" s="14" t="s">
        <v>169</v>
      </c>
      <c r="F157" s="14"/>
      <c r="G157" s="37">
        <v>0</v>
      </c>
      <c r="H157" s="37">
        <v>0</v>
      </c>
      <c r="I157" s="37">
        <f t="shared" si="158"/>
        <v>0</v>
      </c>
      <c r="J157" s="14"/>
      <c r="K157" s="38"/>
      <c r="L157" s="38"/>
      <c r="M157" s="38"/>
      <c r="N157" s="14"/>
      <c r="O157" s="105"/>
      <c r="P157" s="14"/>
      <c r="Q157" s="14"/>
      <c r="R157" s="40"/>
      <c r="S157" s="41">
        <v>0</v>
      </c>
      <c r="T157" s="41">
        <v>0</v>
      </c>
      <c r="U157" s="41">
        <f t="shared" si="159"/>
        <v>0</v>
      </c>
      <c r="V157" s="14"/>
      <c r="W157" s="297"/>
      <c r="X157" s="14"/>
      <c r="Y157" s="49"/>
      <c r="Z157" s="49"/>
      <c r="AA157" s="49"/>
      <c r="AB157" s="1"/>
      <c r="AC157" s="14"/>
      <c r="AD157" s="1"/>
      <c r="AE157" s="1"/>
    </row>
    <row r="158" spans="1:31" ht="11.25" customHeight="1">
      <c r="A158" s="49">
        <v>5600001</v>
      </c>
      <c r="B158" s="49"/>
      <c r="C158" s="22" t="s">
        <v>170</v>
      </c>
      <c r="D158" s="21"/>
      <c r="E158" s="21" t="s">
        <v>167</v>
      </c>
      <c r="F158" s="21"/>
      <c r="G158" s="58">
        <v>0</v>
      </c>
      <c r="H158" s="58">
        <v>0</v>
      </c>
      <c r="I158" s="58">
        <f t="shared" si="158"/>
        <v>0</v>
      </c>
      <c r="J158" s="21"/>
      <c r="K158" s="23"/>
      <c r="L158" s="23"/>
      <c r="M158" s="23"/>
      <c r="N158" s="21"/>
      <c r="O158" s="24"/>
      <c r="P158" s="21"/>
      <c r="Q158" s="21"/>
      <c r="R158" s="61"/>
      <c r="S158" s="60">
        <v>0</v>
      </c>
      <c r="T158" s="60">
        <v>0</v>
      </c>
      <c r="U158" s="60">
        <f t="shared" si="159"/>
        <v>0</v>
      </c>
      <c r="V158" s="21"/>
      <c r="W158" s="275"/>
      <c r="X158" s="21"/>
      <c r="Y158" s="49"/>
      <c r="Z158" s="49"/>
      <c r="AA158" s="49"/>
      <c r="AB158" s="1"/>
      <c r="AC158" s="21"/>
      <c r="AD158" s="1"/>
      <c r="AE158" s="1"/>
    </row>
    <row r="159" spans="1:31" ht="11.25" customHeight="1">
      <c r="A159" s="49">
        <v>2600001</v>
      </c>
      <c r="B159" s="49"/>
      <c r="C159" s="22" t="s">
        <v>171</v>
      </c>
      <c r="D159" s="21"/>
      <c r="E159" s="21" t="s">
        <v>162</v>
      </c>
      <c r="F159" s="21"/>
      <c r="G159" s="58">
        <v>0</v>
      </c>
      <c r="H159" s="58">
        <v>0</v>
      </c>
      <c r="I159" s="58">
        <f t="shared" si="158"/>
        <v>0</v>
      </c>
      <c r="J159" s="21"/>
      <c r="K159" s="23"/>
      <c r="L159" s="23"/>
      <c r="M159" s="23"/>
      <c r="N159" s="21"/>
      <c r="O159" s="24"/>
      <c r="P159" s="21"/>
      <c r="Q159" s="21"/>
      <c r="R159" s="61"/>
      <c r="S159" s="60">
        <v>0</v>
      </c>
      <c r="T159" s="60">
        <v>0</v>
      </c>
      <c r="U159" s="60">
        <f t="shared" si="159"/>
        <v>0</v>
      </c>
      <c r="V159" s="21"/>
      <c r="W159" s="275"/>
      <c r="X159" s="21"/>
      <c r="Y159" s="49"/>
      <c r="Z159" s="49"/>
      <c r="AA159" s="49"/>
      <c r="AB159" s="1"/>
      <c r="AC159" s="21"/>
      <c r="AD159" s="1"/>
      <c r="AE159" s="1"/>
    </row>
    <row r="160" spans="1:31" ht="12" customHeight="1" thickBot="1">
      <c r="A160" s="7"/>
      <c r="B160" s="7"/>
      <c r="C160" s="8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9"/>
      <c r="P160" s="7"/>
      <c r="Q160" s="7"/>
      <c r="R160" s="7"/>
      <c r="S160" s="7"/>
      <c r="T160" s="7"/>
      <c r="U160" s="7"/>
      <c r="V160" s="7"/>
      <c r="W160" s="290"/>
      <c r="X160" s="7"/>
      <c r="Y160" s="49"/>
      <c r="Z160" s="49"/>
      <c r="AA160" s="49"/>
      <c r="AB160" s="1"/>
      <c r="AC160" s="7"/>
      <c r="AD160" s="1"/>
      <c r="AE160" s="1"/>
    </row>
    <row r="161" spans="1:31" ht="17.25" customHeight="1" thickTop="1" thickBot="1">
      <c r="A161" s="26"/>
      <c r="B161" s="26"/>
      <c r="C161" s="27">
        <v>9</v>
      </c>
      <c r="D161" s="28"/>
      <c r="E161" s="29" t="s">
        <v>146</v>
      </c>
      <c r="F161" s="28"/>
      <c r="G161" s="68">
        <f t="shared" ref="G161:I161" si="160">G163</f>
        <v>0</v>
      </c>
      <c r="H161" s="68">
        <f t="shared" si="160"/>
        <v>0</v>
      </c>
      <c r="I161" s="30">
        <f t="shared" si="160"/>
        <v>0</v>
      </c>
      <c r="J161" s="28"/>
      <c r="K161" s="31"/>
      <c r="L161" s="31"/>
      <c r="M161" s="31"/>
      <c r="N161" s="28"/>
      <c r="O161" s="102"/>
      <c r="P161" s="28"/>
      <c r="Q161" s="28"/>
      <c r="R161" s="33"/>
      <c r="S161" s="34">
        <f t="shared" ref="S161:U161" si="161">S163</f>
        <v>0</v>
      </c>
      <c r="T161" s="34">
        <f t="shared" si="161"/>
        <v>0</v>
      </c>
      <c r="U161" s="33">
        <f t="shared" si="161"/>
        <v>0</v>
      </c>
      <c r="V161" s="28"/>
      <c r="W161" s="298"/>
      <c r="X161" s="28"/>
      <c r="Y161" s="49"/>
      <c r="Z161" s="49"/>
      <c r="AA161" s="49"/>
      <c r="AB161" s="35"/>
      <c r="AC161" s="35"/>
      <c r="AD161" s="1"/>
      <c r="AE161" s="1"/>
    </row>
    <row r="162" spans="1:31" ht="6" customHeight="1" thickTop="1">
      <c r="A162" s="7"/>
      <c r="B162" s="7"/>
      <c r="C162" s="8"/>
      <c r="D162" s="7"/>
      <c r="E162" s="7"/>
      <c r="F162" s="7"/>
      <c r="G162" s="44"/>
      <c r="H162" s="44"/>
      <c r="I162" s="44"/>
      <c r="J162" s="7"/>
      <c r="K162" s="44"/>
      <c r="L162" s="44"/>
      <c r="M162" s="44"/>
      <c r="N162" s="7"/>
      <c r="O162" s="73"/>
      <c r="P162" s="7"/>
      <c r="Q162" s="7"/>
      <c r="R162" s="44"/>
      <c r="S162" s="44"/>
      <c r="T162" s="44"/>
      <c r="U162" s="44"/>
      <c r="V162" s="7"/>
      <c r="W162" s="290"/>
      <c r="X162" s="7"/>
      <c r="Y162" s="49"/>
      <c r="Z162" s="49"/>
      <c r="AA162" s="49"/>
      <c r="AB162" s="7"/>
      <c r="AC162" s="7"/>
      <c r="AD162" s="1"/>
      <c r="AE162" s="1"/>
    </row>
    <row r="163" spans="1:31" ht="12.75" customHeight="1">
      <c r="A163" s="11"/>
      <c r="B163" s="11"/>
      <c r="C163" s="36">
        <v>91</v>
      </c>
      <c r="D163" s="14"/>
      <c r="E163" s="14" t="s">
        <v>172</v>
      </c>
      <c r="F163" s="14"/>
      <c r="G163" s="37">
        <f t="shared" ref="G163:H163" si="162">SUM(G164)</f>
        <v>0</v>
      </c>
      <c r="H163" s="37">
        <f t="shared" si="162"/>
        <v>0</v>
      </c>
      <c r="I163" s="37">
        <f t="shared" ref="I163:I166" si="163">SUM(G163:H163)</f>
        <v>0</v>
      </c>
      <c r="J163" s="14"/>
      <c r="K163" s="38"/>
      <c r="L163" s="38"/>
      <c r="M163" s="38"/>
      <c r="N163" s="14"/>
      <c r="O163" s="105"/>
      <c r="P163" s="14"/>
      <c r="Q163" s="14"/>
      <c r="R163" s="40"/>
      <c r="S163" s="41">
        <f t="shared" ref="S163:T163" si="164">SUM(S164)</f>
        <v>0</v>
      </c>
      <c r="T163" s="41">
        <f t="shared" si="164"/>
        <v>0</v>
      </c>
      <c r="U163" s="41">
        <f t="shared" ref="U163:U166" si="165">SUM(S163:T163)</f>
        <v>0</v>
      </c>
      <c r="V163" s="14"/>
      <c r="W163" s="297"/>
      <c r="X163" s="14"/>
      <c r="Y163" s="49"/>
      <c r="Z163" s="49"/>
      <c r="AA163" s="49"/>
      <c r="AB163" s="14"/>
      <c r="AC163" s="14"/>
      <c r="AD163" s="1"/>
      <c r="AE163" s="1"/>
    </row>
    <row r="164" spans="1:31" ht="12.75" customHeight="1">
      <c r="A164" s="49"/>
      <c r="B164" s="49"/>
      <c r="C164" s="22" t="s">
        <v>174</v>
      </c>
      <c r="D164" s="21"/>
      <c r="E164" s="21" t="s">
        <v>175</v>
      </c>
      <c r="F164" s="21"/>
      <c r="G164" s="58">
        <v>0</v>
      </c>
      <c r="H164" s="58">
        <v>0</v>
      </c>
      <c r="I164" s="58">
        <f t="shared" si="163"/>
        <v>0</v>
      </c>
      <c r="J164" s="21"/>
      <c r="K164" s="23"/>
      <c r="L164" s="23"/>
      <c r="M164" s="23"/>
      <c r="N164" s="21"/>
      <c r="O164" s="24"/>
      <c r="P164" s="21"/>
      <c r="Q164" s="21"/>
      <c r="R164" s="61"/>
      <c r="S164" s="60">
        <v>0</v>
      </c>
      <c r="T164" s="60">
        <v>0</v>
      </c>
      <c r="U164" s="60">
        <f t="shared" si="165"/>
        <v>0</v>
      </c>
      <c r="V164" s="21"/>
      <c r="W164" s="275"/>
      <c r="X164" s="21"/>
      <c r="Y164" s="56"/>
      <c r="Z164" s="49"/>
      <c r="AA164" s="21"/>
      <c r="AB164" s="21"/>
      <c r="AC164" s="21"/>
      <c r="AD164" s="1"/>
      <c r="AE164" s="1"/>
    </row>
    <row r="165" spans="1:31" ht="11.25" customHeight="1">
      <c r="A165" s="49">
        <v>5200001</v>
      </c>
      <c r="B165" s="49"/>
      <c r="C165" s="22" t="s">
        <v>176</v>
      </c>
      <c r="D165" s="21"/>
      <c r="E165" s="21" t="s">
        <v>167</v>
      </c>
      <c r="F165" s="21"/>
      <c r="G165" s="58">
        <v>0</v>
      </c>
      <c r="H165" s="58">
        <v>0</v>
      </c>
      <c r="I165" s="58">
        <f t="shared" si="163"/>
        <v>0</v>
      </c>
      <c r="J165" s="21"/>
      <c r="K165" s="23"/>
      <c r="L165" s="23"/>
      <c r="M165" s="23"/>
      <c r="N165" s="21"/>
      <c r="O165" s="24"/>
      <c r="P165" s="21"/>
      <c r="Q165" s="21"/>
      <c r="R165" s="61"/>
      <c r="S165" s="60">
        <v>0</v>
      </c>
      <c r="T165" s="60">
        <v>0</v>
      </c>
      <c r="U165" s="60">
        <f t="shared" si="165"/>
        <v>0</v>
      </c>
      <c r="V165" s="21"/>
      <c r="W165" s="275"/>
      <c r="X165" s="21"/>
      <c r="Y165" s="56"/>
      <c r="Z165" s="49"/>
      <c r="AA165" s="21"/>
      <c r="AB165" s="21"/>
      <c r="AC165" s="21"/>
      <c r="AD165" s="1"/>
      <c r="AE165" s="1"/>
    </row>
    <row r="166" spans="1:31" ht="11.25" customHeight="1">
      <c r="A166" s="49">
        <v>1700001</v>
      </c>
      <c r="B166" s="49"/>
      <c r="C166" s="22" t="s">
        <v>177</v>
      </c>
      <c r="D166" s="21"/>
      <c r="E166" s="21" t="s">
        <v>162</v>
      </c>
      <c r="F166" s="21"/>
      <c r="G166" s="58">
        <v>0</v>
      </c>
      <c r="H166" s="58">
        <v>0</v>
      </c>
      <c r="I166" s="58">
        <f t="shared" si="163"/>
        <v>0</v>
      </c>
      <c r="J166" s="21"/>
      <c r="K166" s="23"/>
      <c r="L166" s="23"/>
      <c r="M166" s="23"/>
      <c r="N166" s="21"/>
      <c r="O166" s="24"/>
      <c r="P166" s="21"/>
      <c r="Q166" s="21"/>
      <c r="R166" s="61"/>
      <c r="S166" s="60">
        <v>0</v>
      </c>
      <c r="T166" s="60">
        <v>0</v>
      </c>
      <c r="U166" s="60">
        <f t="shared" si="165"/>
        <v>0</v>
      </c>
      <c r="V166" s="21"/>
      <c r="W166" s="275"/>
      <c r="X166" s="21"/>
      <c r="Y166" s="56"/>
      <c r="Z166" s="49"/>
      <c r="AA166" s="21"/>
      <c r="AB166" s="21"/>
      <c r="AC166" s="21"/>
      <c r="AD166" s="1"/>
      <c r="AE166" s="1"/>
    </row>
    <row r="167" spans="1:31" ht="11.25" customHeight="1">
      <c r="A167" s="7"/>
      <c r="B167" s="7"/>
      <c r="C167" s="8"/>
      <c r="D167" s="7"/>
      <c r="E167" s="7"/>
      <c r="F167" s="7"/>
      <c r="G167" s="106"/>
      <c r="H167" s="106"/>
      <c r="I167" s="4"/>
      <c r="J167" s="7"/>
      <c r="K167" s="4"/>
      <c r="L167" s="4"/>
      <c r="M167" s="4"/>
      <c r="N167" s="7"/>
      <c r="O167" s="6"/>
      <c r="P167" s="7"/>
      <c r="Q167" s="7"/>
      <c r="R167" s="4"/>
      <c r="S167" s="106"/>
      <c r="T167" s="106"/>
      <c r="V167" s="7"/>
      <c r="W167" s="290"/>
      <c r="X167" s="7"/>
      <c r="Y167" s="48"/>
      <c r="Z167" s="7"/>
      <c r="AA167" s="7"/>
      <c r="AB167" s="7"/>
      <c r="AC167" s="7"/>
      <c r="AD167" s="1"/>
      <c r="AE167" s="1"/>
    </row>
    <row r="168" spans="1:31" ht="133.5" customHeight="1">
      <c r="A168" s="7"/>
      <c r="B168" s="7"/>
      <c r="C168" s="8"/>
      <c r="D168" s="7"/>
      <c r="E168" s="7"/>
      <c r="F168" s="7"/>
      <c r="G168" s="106"/>
      <c r="H168" s="106"/>
      <c r="I168" s="4"/>
      <c r="J168" s="7"/>
      <c r="K168" s="4"/>
      <c r="L168" s="4"/>
      <c r="M168" s="4"/>
      <c r="N168" s="7"/>
      <c r="O168" s="6"/>
      <c r="P168" s="7"/>
      <c r="Q168" s="7"/>
      <c r="R168" s="4"/>
      <c r="S168" s="106"/>
      <c r="T168" s="106"/>
      <c r="U168" s="4"/>
      <c r="V168" s="7"/>
      <c r="W168" s="290"/>
      <c r="X168" s="7"/>
      <c r="Y168" s="48"/>
      <c r="Z168" s="7"/>
      <c r="AA168" s="7"/>
      <c r="AB168" s="7"/>
      <c r="AC168" s="7"/>
      <c r="AD168" s="1"/>
      <c r="AE168" s="1"/>
    </row>
    <row r="169" spans="1:31" ht="212.25" hidden="1" customHeight="1">
      <c r="A169" s="7"/>
      <c r="B169" s="7"/>
      <c r="C169" s="8"/>
      <c r="D169" s="7"/>
      <c r="E169" s="7"/>
      <c r="F169" s="7"/>
      <c r="G169" s="106"/>
      <c r="H169" s="106"/>
      <c r="I169" s="4"/>
      <c r="J169" s="7"/>
      <c r="K169" s="4"/>
      <c r="L169" s="4"/>
      <c r="M169" s="4"/>
      <c r="N169" s="7"/>
      <c r="O169" s="6"/>
      <c r="P169" s="7"/>
      <c r="Q169" s="7"/>
      <c r="R169" s="4"/>
      <c r="S169" s="106"/>
      <c r="T169" s="106"/>
      <c r="U169" s="4"/>
      <c r="V169" s="7"/>
      <c r="W169" s="290"/>
      <c r="X169" s="7"/>
      <c r="Y169" s="48"/>
      <c r="Z169" s="7"/>
      <c r="AA169" s="7"/>
      <c r="AB169" s="7"/>
      <c r="AC169" s="7"/>
      <c r="AD169" s="1"/>
      <c r="AE169" s="1"/>
    </row>
    <row r="170" spans="1:31" ht="12.75" customHeight="1">
      <c r="A170" s="7"/>
      <c r="B170" s="7"/>
      <c r="C170" s="8"/>
      <c r="D170" s="7"/>
      <c r="E170" s="7"/>
      <c r="F170" s="7"/>
      <c r="G170" s="106"/>
      <c r="H170" s="106"/>
      <c r="J170" s="7"/>
      <c r="K170" s="107"/>
      <c r="L170" s="107"/>
      <c r="M170" s="107"/>
      <c r="N170" s="7"/>
      <c r="O170" s="108"/>
      <c r="P170" s="7"/>
      <c r="Q170" s="7"/>
      <c r="R170" s="4" t="s">
        <v>178</v>
      </c>
      <c r="S170" s="106"/>
      <c r="T170" s="106"/>
      <c r="U170" s="4" t="s">
        <v>178</v>
      </c>
      <c r="V170" s="7"/>
      <c r="W170" s="290"/>
      <c r="X170" s="7"/>
      <c r="Y170" s="48"/>
      <c r="Z170" s="7"/>
      <c r="AA170" s="7"/>
      <c r="AB170" s="7"/>
      <c r="AC170" s="7"/>
      <c r="AD170" s="1"/>
      <c r="AE170" s="1"/>
    </row>
    <row r="171" spans="1:31" ht="6" customHeight="1" thickBot="1">
      <c r="A171" s="7"/>
      <c r="B171" s="7"/>
      <c r="C171" s="8"/>
      <c r="D171" s="7"/>
      <c r="E171" s="7"/>
      <c r="F171" s="7"/>
      <c r="G171" s="106"/>
      <c r="H171" s="106"/>
      <c r="I171" s="4"/>
      <c r="J171" s="7"/>
      <c r="K171" s="107"/>
      <c r="L171" s="107"/>
      <c r="M171" s="107"/>
      <c r="N171" s="7"/>
      <c r="O171" s="108"/>
      <c r="P171" s="7"/>
      <c r="Q171" s="7"/>
      <c r="R171" s="107"/>
      <c r="S171" s="106"/>
      <c r="T171" s="106"/>
      <c r="U171" s="107"/>
      <c r="V171" s="7"/>
      <c r="W171" s="290"/>
      <c r="X171" s="7"/>
      <c r="Y171" s="48"/>
      <c r="Z171" s="7"/>
      <c r="AA171" s="7"/>
      <c r="AB171" s="7"/>
      <c r="AC171" s="7"/>
      <c r="AD171" s="1"/>
      <c r="AE171" s="1"/>
    </row>
    <row r="172" spans="1:31" ht="12.75" customHeight="1">
      <c r="A172" s="396" t="s">
        <v>1</v>
      </c>
      <c r="B172" s="10"/>
      <c r="C172" s="426" t="s">
        <v>2</v>
      </c>
      <c r="D172" s="11"/>
      <c r="E172" s="427" t="s">
        <v>179</v>
      </c>
      <c r="F172" s="11"/>
      <c r="G172" s="376" t="s">
        <v>233</v>
      </c>
      <c r="H172" s="377"/>
      <c r="I172" s="378"/>
      <c r="J172" s="11"/>
      <c r="K172" s="400" t="s">
        <v>234</v>
      </c>
      <c r="L172" s="377"/>
      <c r="M172" s="378"/>
      <c r="N172" s="11"/>
      <c r="O172" s="12" t="s">
        <v>5</v>
      </c>
      <c r="P172" s="11"/>
      <c r="Q172" s="11"/>
      <c r="R172" s="422" t="s">
        <v>37</v>
      </c>
      <c r="S172" s="425" t="s">
        <v>4</v>
      </c>
      <c r="T172" s="377"/>
      <c r="U172" s="378"/>
      <c r="V172" s="11"/>
      <c r="W172" s="299"/>
      <c r="X172" s="13"/>
      <c r="Y172" s="217"/>
      <c r="Z172" s="7"/>
      <c r="AA172" s="7"/>
      <c r="AB172" s="14"/>
      <c r="AC172" s="14"/>
      <c r="AD172" s="15"/>
      <c r="AE172" s="15"/>
    </row>
    <row r="173" spans="1:31" ht="27" customHeight="1" thickBot="1">
      <c r="A173" s="397"/>
      <c r="B173" s="10"/>
      <c r="C173" s="410"/>
      <c r="D173" s="14"/>
      <c r="E173" s="424"/>
      <c r="F173" s="14"/>
      <c r="G173" s="379"/>
      <c r="H173" s="380"/>
      <c r="I173" s="381"/>
      <c r="J173" s="14"/>
      <c r="K173" s="379"/>
      <c r="L173" s="380"/>
      <c r="M173" s="381"/>
      <c r="N173" s="14"/>
      <c r="O173" s="17" t="s">
        <v>237</v>
      </c>
      <c r="P173" s="14"/>
      <c r="Q173" s="14"/>
      <c r="R173" s="410"/>
      <c r="S173" s="379"/>
      <c r="T173" s="380"/>
      <c r="U173" s="381"/>
      <c r="V173" s="14"/>
      <c r="W173" s="297"/>
      <c r="X173" s="14"/>
      <c r="Y173" s="67"/>
      <c r="Z173" s="7"/>
      <c r="AA173" s="7"/>
      <c r="AB173" s="14"/>
      <c r="AC173" s="14"/>
      <c r="AD173" s="15"/>
      <c r="AE173" s="15"/>
    </row>
    <row r="174" spans="1:31" ht="15.75" customHeight="1" thickBot="1">
      <c r="A174" s="21"/>
      <c r="B174" s="21"/>
      <c r="C174" s="22"/>
      <c r="D174" s="21"/>
      <c r="E174" s="21"/>
      <c r="F174" s="21"/>
      <c r="G174" s="23" t="s">
        <v>6</v>
      </c>
      <c r="H174" s="23" t="s">
        <v>7</v>
      </c>
      <c r="I174" s="23" t="s">
        <v>8</v>
      </c>
      <c r="J174" s="21"/>
      <c r="K174" s="23" t="s">
        <v>6</v>
      </c>
      <c r="L174" s="23" t="s">
        <v>7</v>
      </c>
      <c r="M174" s="23" t="s">
        <v>8</v>
      </c>
      <c r="N174" s="21"/>
      <c r="O174" s="24"/>
      <c r="P174" s="21"/>
      <c r="Q174" s="21"/>
      <c r="R174" s="23"/>
      <c r="S174" s="23" t="s">
        <v>6</v>
      </c>
      <c r="T174" s="23" t="s">
        <v>7</v>
      </c>
      <c r="U174" s="23" t="s">
        <v>8</v>
      </c>
      <c r="V174" s="21"/>
      <c r="W174" s="275"/>
      <c r="X174" s="21"/>
      <c r="Y174" s="56"/>
      <c r="Z174" s="7"/>
      <c r="AA174" s="7"/>
      <c r="AB174" s="21"/>
      <c r="AC174" s="21"/>
      <c r="AD174" s="25"/>
      <c r="AE174" s="25"/>
    </row>
    <row r="175" spans="1:31" ht="17.25" customHeight="1" thickTop="1" thickBot="1">
      <c r="A175" s="26"/>
      <c r="B175" s="26"/>
      <c r="C175" s="27">
        <v>1</v>
      </c>
      <c r="D175" s="28"/>
      <c r="E175" s="29" t="s">
        <v>181</v>
      </c>
      <c r="F175" s="28"/>
      <c r="G175" s="68">
        <f t="shared" ref="G175:I175" si="166">G177</f>
        <v>31000</v>
      </c>
      <c r="H175" s="68">
        <f t="shared" si="166"/>
        <v>0</v>
      </c>
      <c r="I175" s="30">
        <f t="shared" si="166"/>
        <v>31000</v>
      </c>
      <c r="J175" s="28"/>
      <c r="K175" s="31">
        <f t="shared" ref="K175:L175" si="167">K177</f>
        <v>23656</v>
      </c>
      <c r="L175" s="31">
        <f t="shared" si="167"/>
        <v>0</v>
      </c>
      <c r="M175" s="31">
        <f>L175+K175</f>
        <v>23656</v>
      </c>
      <c r="N175" s="28"/>
      <c r="O175" s="32">
        <f>M175/I175</f>
        <v>0.76309677419354838</v>
      </c>
      <c r="P175" s="28"/>
      <c r="Q175" s="28"/>
      <c r="R175" s="33">
        <f t="shared" ref="R175:U175" si="168">R177</f>
        <v>7344</v>
      </c>
      <c r="S175" s="34">
        <f t="shared" si="168"/>
        <v>30500</v>
      </c>
      <c r="T175" s="34">
        <f t="shared" si="168"/>
        <v>0</v>
      </c>
      <c r="U175" s="33">
        <f t="shared" si="168"/>
        <v>30500</v>
      </c>
      <c r="V175" s="28"/>
      <c r="W175" s="298"/>
      <c r="X175" s="28"/>
      <c r="Y175" s="71"/>
      <c r="Z175" s="7"/>
      <c r="AA175" s="7"/>
      <c r="AB175" s="35"/>
      <c r="AC175" s="35"/>
      <c r="AD175" s="1"/>
      <c r="AE175" s="1"/>
    </row>
    <row r="176" spans="1:31" ht="6" customHeight="1" thickTop="1">
      <c r="A176" s="7"/>
      <c r="B176" s="7"/>
      <c r="C176" s="8"/>
      <c r="D176" s="7"/>
      <c r="E176" s="7"/>
      <c r="F176" s="7"/>
      <c r="G176" s="94"/>
      <c r="H176" s="94"/>
      <c r="I176" s="94"/>
      <c r="J176" s="7"/>
      <c r="K176" s="94"/>
      <c r="L176" s="94"/>
      <c r="M176" s="94"/>
      <c r="N176" s="7"/>
      <c r="O176" s="73"/>
      <c r="P176" s="7"/>
      <c r="Q176" s="7"/>
      <c r="R176" s="94"/>
      <c r="S176" s="94"/>
      <c r="T176" s="94"/>
      <c r="U176" s="94"/>
      <c r="V176" s="7"/>
      <c r="W176" s="290"/>
      <c r="X176" s="7"/>
      <c r="Y176" s="48"/>
      <c r="Z176" s="7"/>
      <c r="AA176" s="7"/>
      <c r="AB176" s="7"/>
      <c r="AC176" s="7"/>
      <c r="AD176" s="1"/>
      <c r="AE176" s="1"/>
    </row>
    <row r="177" spans="1:31" ht="12.75" customHeight="1">
      <c r="A177" s="7"/>
      <c r="B177" s="7"/>
      <c r="C177" s="36">
        <v>10</v>
      </c>
      <c r="D177" s="7"/>
      <c r="E177" s="14" t="s">
        <v>182</v>
      </c>
      <c r="F177" s="7"/>
      <c r="G177" s="37">
        <f t="shared" ref="G177:I177" si="169">SUM(G178:G179)</f>
        <v>31000</v>
      </c>
      <c r="H177" s="37">
        <f t="shared" si="169"/>
        <v>0</v>
      </c>
      <c r="I177" s="37">
        <f t="shared" si="169"/>
        <v>31000</v>
      </c>
      <c r="J177" s="7"/>
      <c r="K177" s="38">
        <f t="shared" ref="K177:L177" si="170">SUM(K178:K179)</f>
        <v>23656</v>
      </c>
      <c r="L177" s="38">
        <f t="shared" si="170"/>
        <v>0</v>
      </c>
      <c r="M177" s="38">
        <f>L177+K177</f>
        <v>23656</v>
      </c>
      <c r="N177" s="7"/>
      <c r="O177" s="39">
        <f t="shared" ref="O177:O179" si="171">M177/I177</f>
        <v>0.76309677419354838</v>
      </c>
      <c r="P177" s="7"/>
      <c r="Q177" s="7"/>
      <c r="R177" s="113">
        <f t="shared" ref="R177:U177" si="172">SUM(R178:R179)</f>
        <v>7344</v>
      </c>
      <c r="S177" s="41">
        <f t="shared" si="172"/>
        <v>30500</v>
      </c>
      <c r="T177" s="41">
        <f t="shared" si="172"/>
        <v>0</v>
      </c>
      <c r="U177" s="41">
        <f t="shared" si="172"/>
        <v>30500</v>
      </c>
      <c r="V177" s="7"/>
      <c r="W177" s="290"/>
      <c r="X177" s="7"/>
      <c r="Y177" s="48"/>
      <c r="Z177" s="7"/>
      <c r="AA177" s="7"/>
      <c r="AB177" s="7"/>
      <c r="AC177" s="7"/>
      <c r="AD177" s="1"/>
      <c r="AE177" s="1"/>
    </row>
    <row r="178" spans="1:31" ht="11.25" customHeight="1">
      <c r="A178" s="49">
        <v>7060001</v>
      </c>
      <c r="B178" s="49"/>
      <c r="C178" s="22">
        <v>100</v>
      </c>
      <c r="D178" s="21"/>
      <c r="E178" s="21" t="s">
        <v>183</v>
      </c>
      <c r="F178" s="21"/>
      <c r="G178" s="58">
        <f>23204-268</f>
        <v>22936</v>
      </c>
      <c r="H178" s="58">
        <v>0</v>
      </c>
      <c r="I178" s="114">
        <f t="shared" ref="I178:I179" si="173">SUM(G178:H178)</f>
        <v>22936</v>
      </c>
      <c r="J178" s="21"/>
      <c r="K178" s="84">
        <v>17608</v>
      </c>
      <c r="L178" s="84">
        <v>0</v>
      </c>
      <c r="M178" s="84">
        <f>+M177-M179</f>
        <v>17608</v>
      </c>
      <c r="N178" s="21"/>
      <c r="O178" s="59">
        <f t="shared" si="171"/>
        <v>0.76770143006627134</v>
      </c>
      <c r="P178" s="21"/>
      <c r="Q178" s="21"/>
      <c r="R178" s="115">
        <f t="shared" ref="R178:R179" si="174">I178-K178-L178</f>
        <v>5328</v>
      </c>
      <c r="S178" s="60">
        <v>24500</v>
      </c>
      <c r="T178" s="60">
        <v>0</v>
      </c>
      <c r="U178" s="116">
        <f t="shared" ref="U178:U179" si="175">SUM(S178:T178)</f>
        <v>24500</v>
      </c>
      <c r="V178" s="21"/>
      <c r="W178" s="275"/>
      <c r="X178" s="21"/>
      <c r="Y178" s="56"/>
      <c r="Z178" s="7"/>
      <c r="AA178" s="7"/>
      <c r="AB178" s="21"/>
      <c r="AC178" s="21"/>
      <c r="AD178" s="1"/>
      <c r="AE178" s="1"/>
    </row>
    <row r="179" spans="1:31" ht="12.75" customHeight="1">
      <c r="A179" s="7"/>
      <c r="B179" s="7"/>
      <c r="C179" s="22">
        <v>101</v>
      </c>
      <c r="D179" s="21"/>
      <c r="E179" s="21" t="s">
        <v>184</v>
      </c>
      <c r="F179" s="21"/>
      <c r="G179" s="58">
        <v>8064</v>
      </c>
      <c r="H179" s="114">
        <v>0</v>
      </c>
      <c r="I179" s="114">
        <f t="shared" si="173"/>
        <v>8064</v>
      </c>
      <c r="J179" s="21"/>
      <c r="K179" s="84">
        <v>6048</v>
      </c>
      <c r="L179" s="84">
        <v>0</v>
      </c>
      <c r="M179" s="84">
        <f>+K179+L179</f>
        <v>6048</v>
      </c>
      <c r="N179" s="21"/>
      <c r="O179" s="59">
        <f t="shared" si="171"/>
        <v>0.75</v>
      </c>
      <c r="P179" s="21"/>
      <c r="Q179" s="21"/>
      <c r="R179" s="115">
        <f t="shared" si="174"/>
        <v>2016</v>
      </c>
      <c r="S179" s="60">
        <v>6000</v>
      </c>
      <c r="T179" s="116">
        <v>0</v>
      </c>
      <c r="U179" s="116">
        <f t="shared" si="175"/>
        <v>6000</v>
      </c>
      <c r="V179" s="21"/>
      <c r="W179" s="275" t="s">
        <v>185</v>
      </c>
      <c r="X179" s="117"/>
      <c r="Y179" s="56"/>
      <c r="Z179" s="7"/>
      <c r="AA179" s="7"/>
      <c r="AB179" s="7"/>
      <c r="AC179" s="7"/>
      <c r="AD179" s="1"/>
      <c r="AE179" s="1"/>
    </row>
    <row r="180" spans="1:31" ht="6" customHeight="1" thickBot="1">
      <c r="A180" s="7"/>
      <c r="B180" s="7"/>
      <c r="C180" s="8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9"/>
      <c r="P180" s="7"/>
      <c r="Q180" s="7"/>
      <c r="R180" s="7"/>
      <c r="S180" s="7"/>
      <c r="T180" s="7"/>
      <c r="U180" s="7"/>
      <c r="V180" s="7"/>
      <c r="W180" s="290"/>
      <c r="X180" s="7"/>
      <c r="Y180" s="48"/>
      <c r="Z180" s="7"/>
      <c r="AA180" s="7"/>
      <c r="AB180" s="7"/>
      <c r="AC180" s="7"/>
      <c r="AD180" s="1"/>
      <c r="AE180" s="1"/>
    </row>
    <row r="181" spans="1:31" ht="17.25" customHeight="1" thickTop="1" thickBot="1">
      <c r="A181" s="26"/>
      <c r="B181" s="26"/>
      <c r="C181" s="27">
        <v>3</v>
      </c>
      <c r="D181" s="28"/>
      <c r="E181" s="29" t="s">
        <v>160</v>
      </c>
      <c r="F181" s="28"/>
      <c r="G181" s="34">
        <f>SUM(G183+G187+G195+G193)</f>
        <v>186000</v>
      </c>
      <c r="H181" s="34">
        <f>SUM(H183,H187,H195)</f>
        <v>0</v>
      </c>
      <c r="I181" s="33">
        <f>SUM(I183,I187,I193,I195)</f>
        <v>186000</v>
      </c>
      <c r="J181" s="28"/>
      <c r="K181" s="31">
        <f t="shared" ref="K181:L181" si="176">SUM(K183,K187,K193,K195)</f>
        <v>155193.25</v>
      </c>
      <c r="L181" s="31">
        <f t="shared" si="176"/>
        <v>0</v>
      </c>
      <c r="M181" s="31">
        <f>L181+K181</f>
        <v>155193.25</v>
      </c>
      <c r="N181" s="28"/>
      <c r="O181" s="32">
        <f>M181/I181</f>
        <v>0.83437231182795701</v>
      </c>
      <c r="P181" s="28"/>
      <c r="Q181" s="28"/>
      <c r="R181" s="33">
        <f>SUM(R183,R187,R193,R195)</f>
        <v>30806.75</v>
      </c>
      <c r="S181" s="34">
        <f>SUM(S183+S187+S195+S193)</f>
        <v>204550</v>
      </c>
      <c r="T181" s="34">
        <f>SUM(T183,T187,T195)</f>
        <v>0</v>
      </c>
      <c r="U181" s="33">
        <f>SUM(U183,U187,U193,U195)</f>
        <v>204550</v>
      </c>
      <c r="V181" s="28"/>
      <c r="W181" s="298"/>
      <c r="X181" s="28"/>
      <c r="Y181" s="71"/>
      <c r="Z181" s="7"/>
      <c r="AA181" s="7"/>
      <c r="AB181" s="35"/>
      <c r="AC181" s="35"/>
      <c r="AD181" s="1"/>
      <c r="AE181" s="1"/>
    </row>
    <row r="182" spans="1:31" ht="6" customHeight="1" thickTop="1">
      <c r="A182" s="7"/>
      <c r="B182" s="7"/>
      <c r="C182" s="8"/>
      <c r="D182" s="7"/>
      <c r="E182" s="7"/>
      <c r="F182" s="7"/>
      <c r="G182" s="94"/>
      <c r="H182" s="94"/>
      <c r="I182" s="94"/>
      <c r="J182" s="7"/>
      <c r="K182" s="94"/>
      <c r="L182" s="94"/>
      <c r="M182" s="94"/>
      <c r="N182" s="7"/>
      <c r="O182" s="73"/>
      <c r="P182" s="7"/>
      <c r="Q182" s="7"/>
      <c r="R182" s="94"/>
      <c r="S182" s="94"/>
      <c r="T182" s="94"/>
      <c r="U182" s="94"/>
      <c r="V182" s="7"/>
      <c r="W182" s="290"/>
      <c r="X182" s="7"/>
      <c r="Y182" s="48"/>
      <c r="Z182" s="7"/>
      <c r="AA182" s="7"/>
      <c r="AB182" s="7"/>
      <c r="AC182" s="7"/>
      <c r="AD182" s="1"/>
      <c r="AE182" s="1"/>
    </row>
    <row r="183" spans="1:31" ht="12.75" customHeight="1">
      <c r="A183" s="7"/>
      <c r="B183" s="7"/>
      <c r="C183" s="36">
        <v>30</v>
      </c>
      <c r="D183" s="7"/>
      <c r="E183" s="14" t="s">
        <v>186</v>
      </c>
      <c r="F183" s="7"/>
      <c r="G183" s="37">
        <f t="shared" ref="G183:I183" si="177">SUM(G184:G185)</f>
        <v>125500</v>
      </c>
      <c r="H183" s="37">
        <f t="shared" si="177"/>
        <v>0</v>
      </c>
      <c r="I183" s="37">
        <f t="shared" si="177"/>
        <v>125500</v>
      </c>
      <c r="J183" s="7"/>
      <c r="K183" s="38">
        <f t="shared" ref="K183:L183" si="178">SUM(K184:K185)</f>
        <v>129889.57</v>
      </c>
      <c r="L183" s="38">
        <f t="shared" si="178"/>
        <v>0</v>
      </c>
      <c r="M183" s="38">
        <f t="shared" ref="M183:M185" si="179">L183+K183</f>
        <v>129889.57</v>
      </c>
      <c r="N183" s="7"/>
      <c r="O183" s="39">
        <f t="shared" ref="O183:O185" si="180">M183/I183</f>
        <v>1.0349766533864542</v>
      </c>
      <c r="P183" s="7"/>
      <c r="Q183" s="7"/>
      <c r="R183" s="113">
        <f t="shared" ref="R183:U183" si="181">SUM(R184:R185)</f>
        <v>-4389.5700000000033</v>
      </c>
      <c r="S183" s="41">
        <f t="shared" si="181"/>
        <v>150800</v>
      </c>
      <c r="T183" s="41">
        <f t="shared" si="181"/>
        <v>0</v>
      </c>
      <c r="U183" s="41">
        <f t="shared" si="181"/>
        <v>150800</v>
      </c>
      <c r="V183" s="7"/>
      <c r="W183" s="290"/>
      <c r="X183" s="7"/>
      <c r="Y183" s="48"/>
      <c r="Z183" s="11"/>
      <c r="AA183" s="7"/>
      <c r="AB183" s="7"/>
      <c r="AC183" s="7"/>
      <c r="AD183" s="1"/>
      <c r="AE183" s="1"/>
    </row>
    <row r="184" spans="1:31" ht="11.25" customHeight="1">
      <c r="A184" s="49">
        <v>7020001</v>
      </c>
      <c r="B184" s="49"/>
      <c r="C184" s="22" t="s">
        <v>187</v>
      </c>
      <c r="D184" s="57"/>
      <c r="E184" s="21" t="s">
        <v>188</v>
      </c>
      <c r="F184" s="57"/>
      <c r="G184" s="114">
        <v>500</v>
      </c>
      <c r="H184" s="114">
        <v>0</v>
      </c>
      <c r="I184" s="58">
        <f t="shared" ref="I184:I185" si="182">SUM(G184:H184)</f>
        <v>500</v>
      </c>
      <c r="J184" s="57"/>
      <c r="K184" s="23">
        <v>645.16</v>
      </c>
      <c r="L184" s="23">
        <v>0</v>
      </c>
      <c r="M184" s="23">
        <f t="shared" si="179"/>
        <v>645.16</v>
      </c>
      <c r="N184" s="57"/>
      <c r="O184" s="59">
        <f t="shared" si="180"/>
        <v>1.2903199999999999</v>
      </c>
      <c r="P184" s="57"/>
      <c r="Q184" s="57"/>
      <c r="R184" s="61">
        <f t="shared" ref="R184:R185" si="183">I184-K184-L184</f>
        <v>-145.15999999999997</v>
      </c>
      <c r="S184" s="116">
        <v>800</v>
      </c>
      <c r="T184" s="116">
        <v>0</v>
      </c>
      <c r="U184" s="60">
        <f t="shared" ref="U184:U185" si="184">SUM(S184:T184)</f>
        <v>800</v>
      </c>
      <c r="V184" s="57"/>
      <c r="W184" s="275" t="s">
        <v>189</v>
      </c>
      <c r="X184" s="57"/>
      <c r="Y184" s="56"/>
      <c r="Z184" s="49"/>
      <c r="AA184" s="21"/>
      <c r="AB184" s="21"/>
      <c r="AC184" s="21"/>
      <c r="AD184" s="1"/>
      <c r="AE184" s="1"/>
    </row>
    <row r="185" spans="1:31" ht="11.25" customHeight="1">
      <c r="A185" s="49">
        <v>7020002</v>
      </c>
      <c r="B185" s="49"/>
      <c r="C185" s="22" t="s">
        <v>190</v>
      </c>
      <c r="D185" s="21"/>
      <c r="E185" s="21" t="s">
        <v>191</v>
      </c>
      <c r="F185" s="21"/>
      <c r="G185" s="114">
        <v>125000</v>
      </c>
      <c r="H185" s="58">
        <v>0</v>
      </c>
      <c r="I185" s="58">
        <f t="shared" si="182"/>
        <v>125000</v>
      </c>
      <c r="J185" s="21"/>
      <c r="K185" s="23">
        <v>129244.41</v>
      </c>
      <c r="L185" s="23">
        <v>0</v>
      </c>
      <c r="M185" s="23">
        <f t="shared" si="179"/>
        <v>129244.41</v>
      </c>
      <c r="N185" s="21"/>
      <c r="O185" s="59">
        <f t="shared" si="180"/>
        <v>1.03395528</v>
      </c>
      <c r="P185" s="21"/>
      <c r="Q185" s="21"/>
      <c r="R185" s="61">
        <f t="shared" si="183"/>
        <v>-4244.4100000000035</v>
      </c>
      <c r="S185" s="116">
        <v>150000</v>
      </c>
      <c r="T185" s="60">
        <v>0</v>
      </c>
      <c r="U185" s="60">
        <f t="shared" si="184"/>
        <v>150000</v>
      </c>
      <c r="V185" s="21"/>
      <c r="W185" s="275" t="s">
        <v>192</v>
      </c>
      <c r="X185" s="117"/>
      <c r="Y185" s="56"/>
      <c r="Z185" s="49"/>
      <c r="AA185" s="118"/>
      <c r="AB185" s="1"/>
      <c r="AC185" s="21"/>
      <c r="AD185" s="1"/>
      <c r="AE185" s="1"/>
    </row>
    <row r="186" spans="1:31" ht="5.25" customHeight="1">
      <c r="A186" s="7"/>
      <c r="B186" s="7"/>
      <c r="C186" s="22"/>
      <c r="D186" s="7"/>
      <c r="E186" s="21"/>
      <c r="F186" s="7"/>
      <c r="G186" s="119"/>
      <c r="H186" s="119"/>
      <c r="I186" s="119"/>
      <c r="J186" s="7"/>
      <c r="K186" s="94"/>
      <c r="L186" s="94"/>
      <c r="M186" s="94"/>
      <c r="N186" s="7"/>
      <c r="O186" s="45"/>
      <c r="P186" s="7"/>
      <c r="Q186" s="7"/>
      <c r="R186" s="120"/>
      <c r="S186" s="121"/>
      <c r="T186" s="121"/>
      <c r="U186" s="121"/>
      <c r="V186" s="7"/>
      <c r="W186" s="290"/>
      <c r="X186" s="7"/>
      <c r="Y186" s="48"/>
      <c r="Z186" s="7"/>
      <c r="AA186" s="66"/>
      <c r="AB186" s="1"/>
      <c r="AC186" s="7"/>
      <c r="AD186" s="1"/>
      <c r="AE186" s="1"/>
    </row>
    <row r="187" spans="1:31" ht="12.75" customHeight="1">
      <c r="A187" s="7"/>
      <c r="B187" s="7"/>
      <c r="C187" s="36">
        <v>31</v>
      </c>
      <c r="D187" s="7"/>
      <c r="E187" s="14" t="s">
        <v>193</v>
      </c>
      <c r="F187" s="7"/>
      <c r="G187" s="37">
        <f t="shared" ref="G187:I187" si="185">SUM(SUM(G188:G191))</f>
        <v>5500</v>
      </c>
      <c r="H187" s="37">
        <f t="shared" si="185"/>
        <v>0</v>
      </c>
      <c r="I187" s="37">
        <f t="shared" si="185"/>
        <v>5500</v>
      </c>
      <c r="J187" s="7"/>
      <c r="K187" s="38">
        <f t="shared" ref="K187:L187" si="186">SUM(SUM(K188:K191))</f>
        <v>3931.8500000000004</v>
      </c>
      <c r="L187" s="38">
        <f t="shared" si="186"/>
        <v>0</v>
      </c>
      <c r="M187" s="38">
        <f t="shared" ref="M187:M191" si="187">L187+K187</f>
        <v>3931.8500000000004</v>
      </c>
      <c r="N187" s="7"/>
      <c r="O187" s="39">
        <f t="shared" ref="O187:O191" si="188">M187/I187</f>
        <v>0.71488181818181828</v>
      </c>
      <c r="P187" s="7"/>
      <c r="Q187" s="7"/>
      <c r="R187" s="113">
        <f t="shared" ref="R187:U187" si="189">SUM(SUM(R188:R191))</f>
        <v>1568.1499999999999</v>
      </c>
      <c r="S187" s="41">
        <f t="shared" si="189"/>
        <v>7700</v>
      </c>
      <c r="T187" s="41">
        <f t="shared" si="189"/>
        <v>0</v>
      </c>
      <c r="U187" s="41">
        <f t="shared" si="189"/>
        <v>7700</v>
      </c>
      <c r="V187" s="7"/>
      <c r="W187" s="290"/>
      <c r="X187" s="7"/>
      <c r="Y187" s="48"/>
      <c r="Z187" s="11"/>
      <c r="AA187" s="7"/>
      <c r="AB187" s="7"/>
      <c r="AC187" s="7"/>
      <c r="AD187" s="1"/>
      <c r="AE187" s="1"/>
    </row>
    <row r="188" spans="1:31" ht="12.75" customHeight="1">
      <c r="A188" s="49">
        <v>7050002</v>
      </c>
      <c r="B188" s="49"/>
      <c r="C188" s="22" t="s">
        <v>194</v>
      </c>
      <c r="D188" s="21"/>
      <c r="E188" s="21" t="s">
        <v>195</v>
      </c>
      <c r="F188" s="21"/>
      <c r="G188" s="58">
        <v>2000</v>
      </c>
      <c r="H188" s="58">
        <v>0</v>
      </c>
      <c r="I188" s="58">
        <f t="shared" ref="I188:I191" si="190">SUM(G188:H188)</f>
        <v>2000</v>
      </c>
      <c r="J188" s="21"/>
      <c r="K188" s="23">
        <v>1705.43</v>
      </c>
      <c r="L188" s="23">
        <v>0</v>
      </c>
      <c r="M188" s="23">
        <f t="shared" si="187"/>
        <v>1705.43</v>
      </c>
      <c r="N188" s="21"/>
      <c r="O188" s="59">
        <f t="shared" si="188"/>
        <v>0.852715</v>
      </c>
      <c r="P188" s="21"/>
      <c r="Q188" s="21"/>
      <c r="R188" s="61">
        <f t="shared" ref="R188:R191" si="191">I188-K188-L188</f>
        <v>294.56999999999994</v>
      </c>
      <c r="S188" s="60">
        <v>2500</v>
      </c>
      <c r="T188" s="60">
        <v>0</v>
      </c>
      <c r="U188" s="60">
        <f t="shared" ref="U188:U191" si="192">SUM(S188:T188)</f>
        <v>2500</v>
      </c>
      <c r="V188" s="21"/>
      <c r="W188" s="275" t="s">
        <v>196</v>
      </c>
      <c r="X188" s="1"/>
      <c r="Y188" s="56"/>
      <c r="Z188" s="49"/>
      <c r="AA188" s="118"/>
      <c r="AB188" s="1"/>
      <c r="AC188" s="21"/>
      <c r="AD188" s="1"/>
      <c r="AE188" s="1"/>
    </row>
    <row r="189" spans="1:31" ht="12.75" customHeight="1">
      <c r="A189" s="49"/>
      <c r="B189" s="49"/>
      <c r="C189" s="22" t="s">
        <v>197</v>
      </c>
      <c r="D189" s="21"/>
      <c r="E189" s="21" t="s">
        <v>198</v>
      </c>
      <c r="F189" s="21"/>
      <c r="G189" s="58">
        <f>1000</f>
        <v>1000</v>
      </c>
      <c r="H189" s="58">
        <v>0</v>
      </c>
      <c r="I189" s="58">
        <f t="shared" si="190"/>
        <v>1000</v>
      </c>
      <c r="J189" s="21"/>
      <c r="K189" s="23">
        <v>1000</v>
      </c>
      <c r="L189" s="23">
        <v>0</v>
      </c>
      <c r="M189" s="23">
        <f t="shared" si="187"/>
        <v>1000</v>
      </c>
      <c r="N189" s="21"/>
      <c r="O189" s="59">
        <f t="shared" si="188"/>
        <v>1</v>
      </c>
      <c r="P189" s="21"/>
      <c r="Q189" s="21"/>
      <c r="R189" s="61">
        <f t="shared" si="191"/>
        <v>0</v>
      </c>
      <c r="S189" s="60">
        <v>2500</v>
      </c>
      <c r="T189" s="60">
        <v>0</v>
      </c>
      <c r="U189" s="60">
        <f t="shared" si="192"/>
        <v>2500</v>
      </c>
      <c r="V189" s="21"/>
      <c r="W189" s="275" t="s">
        <v>199</v>
      </c>
      <c r="X189" s="1"/>
      <c r="Y189" s="56"/>
      <c r="Z189" s="49"/>
      <c r="AA189" s="118"/>
      <c r="AB189" s="1"/>
      <c r="AC189" s="21"/>
      <c r="AD189" s="1"/>
      <c r="AE189" s="1"/>
    </row>
    <row r="190" spans="1:31" ht="12.75" customHeight="1">
      <c r="A190" s="49"/>
      <c r="B190" s="49"/>
      <c r="C190" s="22" t="s">
        <v>200</v>
      </c>
      <c r="D190" s="21"/>
      <c r="E190" s="21" t="s">
        <v>201</v>
      </c>
      <c r="F190" s="21"/>
      <c r="G190" s="58">
        <v>700</v>
      </c>
      <c r="H190" s="58">
        <v>0</v>
      </c>
      <c r="I190" s="58">
        <f t="shared" si="190"/>
        <v>700</v>
      </c>
      <c r="J190" s="21"/>
      <c r="K190" s="23">
        <v>0</v>
      </c>
      <c r="L190" s="23">
        <v>0</v>
      </c>
      <c r="M190" s="23">
        <f t="shared" si="187"/>
        <v>0</v>
      </c>
      <c r="N190" s="21"/>
      <c r="O190" s="59">
        <f t="shared" si="188"/>
        <v>0</v>
      </c>
      <c r="P190" s="21"/>
      <c r="Q190" s="21"/>
      <c r="R190" s="61">
        <f t="shared" si="191"/>
        <v>700</v>
      </c>
      <c r="S190" s="60">
        <v>900</v>
      </c>
      <c r="T190" s="60">
        <v>0</v>
      </c>
      <c r="U190" s="60">
        <f t="shared" si="192"/>
        <v>900</v>
      </c>
      <c r="V190" s="21"/>
      <c r="W190" s="275"/>
      <c r="X190" s="21"/>
      <c r="Y190" s="56"/>
      <c r="Z190" s="49"/>
      <c r="AA190" s="118"/>
      <c r="AB190" s="1"/>
      <c r="AC190" s="21"/>
      <c r="AD190" s="1"/>
      <c r="AE190" s="1"/>
    </row>
    <row r="191" spans="1:31" ht="12.75" customHeight="1">
      <c r="A191" s="49"/>
      <c r="B191" s="49"/>
      <c r="C191" s="22" t="s">
        <v>202</v>
      </c>
      <c r="D191" s="21"/>
      <c r="E191" s="21" t="s">
        <v>203</v>
      </c>
      <c r="F191" s="21"/>
      <c r="G191" s="58">
        <v>1800</v>
      </c>
      <c r="H191" s="58">
        <v>0</v>
      </c>
      <c r="I191" s="58">
        <f t="shared" si="190"/>
        <v>1800</v>
      </c>
      <c r="J191" s="21"/>
      <c r="K191" s="23">
        <v>1226.42</v>
      </c>
      <c r="L191" s="23">
        <v>0</v>
      </c>
      <c r="M191" s="23">
        <f t="shared" si="187"/>
        <v>1226.42</v>
      </c>
      <c r="N191" s="21"/>
      <c r="O191" s="59">
        <f t="shared" si="188"/>
        <v>0.68134444444444453</v>
      </c>
      <c r="P191" s="21"/>
      <c r="Q191" s="21"/>
      <c r="R191" s="61">
        <f t="shared" si="191"/>
        <v>573.57999999999993</v>
      </c>
      <c r="S191" s="60">
        <v>1800</v>
      </c>
      <c r="T191" s="60">
        <v>0</v>
      </c>
      <c r="U191" s="60">
        <f t="shared" si="192"/>
        <v>1800</v>
      </c>
      <c r="V191" s="21"/>
      <c r="W191" s="275" t="s">
        <v>204</v>
      </c>
      <c r="X191" s="1"/>
      <c r="Y191" s="49"/>
      <c r="Z191" s="49"/>
      <c r="AA191" s="49"/>
      <c r="AB191" s="1"/>
      <c r="AC191" s="21"/>
      <c r="AD191" s="1"/>
      <c r="AE191" s="1"/>
    </row>
    <row r="192" spans="1:31" ht="5.25" customHeight="1">
      <c r="A192" s="7"/>
      <c r="B192" s="7"/>
      <c r="C192" s="8"/>
      <c r="D192" s="7"/>
      <c r="E192" s="86"/>
      <c r="F192" s="7"/>
      <c r="G192" s="119"/>
      <c r="H192" s="119"/>
      <c r="I192" s="119"/>
      <c r="J192" s="7"/>
      <c r="K192" s="94"/>
      <c r="L192" s="94"/>
      <c r="M192" s="94"/>
      <c r="N192" s="7"/>
      <c r="O192" s="45"/>
      <c r="P192" s="7"/>
      <c r="Q192" s="7"/>
      <c r="R192" s="120"/>
      <c r="S192" s="121"/>
      <c r="T192" s="121"/>
      <c r="U192" s="121"/>
      <c r="V192" s="7"/>
      <c r="W192" s="290"/>
      <c r="X192" s="7"/>
      <c r="Y192" s="49"/>
      <c r="Z192" s="49"/>
      <c r="AA192" s="49"/>
      <c r="AB192" s="1"/>
      <c r="AC192" s="7"/>
      <c r="AD192" s="1"/>
      <c r="AE192" s="1"/>
    </row>
    <row r="193" spans="1:31" ht="12.75" customHeight="1">
      <c r="A193" s="7" t="s">
        <v>205</v>
      </c>
      <c r="B193" s="7"/>
      <c r="C193" s="36">
        <v>32</v>
      </c>
      <c r="D193" s="7"/>
      <c r="E193" s="14" t="s">
        <v>206</v>
      </c>
      <c r="F193" s="7"/>
      <c r="G193" s="37">
        <f>1400+1200</f>
        <v>2600</v>
      </c>
      <c r="H193" s="37">
        <v>0</v>
      </c>
      <c r="I193" s="37">
        <f>SUM(G193:H193)</f>
        <v>2600</v>
      </c>
      <c r="J193" s="7"/>
      <c r="K193" s="38">
        <v>733.34</v>
      </c>
      <c r="L193" s="38">
        <v>0</v>
      </c>
      <c r="M193" s="38">
        <f>L193+K193</f>
        <v>733.34</v>
      </c>
      <c r="N193" s="7"/>
      <c r="O193" s="39">
        <f>M193/I193</f>
        <v>0.28205384615384615</v>
      </c>
      <c r="P193" s="7"/>
      <c r="Q193" s="7"/>
      <c r="R193" s="113">
        <f>I193-K193-L193</f>
        <v>1866.6599999999999</v>
      </c>
      <c r="S193" s="41">
        <f>1400+1200</f>
        <v>2600</v>
      </c>
      <c r="T193" s="41">
        <v>0</v>
      </c>
      <c r="U193" s="41">
        <f>SUM(S193:T193)</f>
        <v>2600</v>
      </c>
      <c r="V193" s="7"/>
      <c r="W193" s="290" t="s">
        <v>207</v>
      </c>
      <c r="X193" s="7"/>
      <c r="Y193" s="49"/>
      <c r="Z193" s="49"/>
      <c r="AA193" s="49"/>
      <c r="AB193" s="7"/>
      <c r="AC193" s="7"/>
      <c r="AD193" s="1"/>
      <c r="AE193" s="1"/>
    </row>
    <row r="194" spans="1:31" ht="4.5" customHeight="1">
      <c r="A194" s="7"/>
      <c r="B194" s="7"/>
      <c r="C194" s="8"/>
      <c r="D194" s="87"/>
      <c r="E194" s="7"/>
      <c r="F194" s="87"/>
      <c r="G194" s="119"/>
      <c r="H194" s="119"/>
      <c r="I194" s="119"/>
      <c r="J194" s="87"/>
      <c r="K194" s="94"/>
      <c r="L194" s="94"/>
      <c r="M194" s="94"/>
      <c r="N194" s="87"/>
      <c r="O194" s="45"/>
      <c r="P194" s="87"/>
      <c r="Q194" s="87"/>
      <c r="R194" s="120"/>
      <c r="S194" s="121"/>
      <c r="T194" s="121"/>
      <c r="U194" s="121"/>
      <c r="V194" s="87"/>
      <c r="W194" s="302"/>
      <c r="X194" s="87"/>
      <c r="Y194" s="49"/>
      <c r="Z194" s="49"/>
      <c r="AA194" s="49"/>
      <c r="AB194" s="1"/>
      <c r="AC194" s="7"/>
      <c r="AD194" s="1"/>
      <c r="AE194" s="1"/>
    </row>
    <row r="195" spans="1:31" ht="12.75" customHeight="1">
      <c r="A195" s="7"/>
      <c r="B195" s="7"/>
      <c r="C195" s="36">
        <v>33</v>
      </c>
      <c r="D195" s="7"/>
      <c r="E195" s="14" t="s">
        <v>208</v>
      </c>
      <c r="F195" s="7"/>
      <c r="G195" s="37">
        <f t="shared" ref="G195:I195" si="193">SUM(G196:G199)</f>
        <v>52400</v>
      </c>
      <c r="H195" s="37">
        <f t="shared" si="193"/>
        <v>0</v>
      </c>
      <c r="I195" s="37">
        <f t="shared" si="193"/>
        <v>52400</v>
      </c>
      <c r="J195" s="7"/>
      <c r="K195" s="38">
        <f t="shared" ref="K195:L195" si="194">SUM(K196:K199)</f>
        <v>20638.489999999998</v>
      </c>
      <c r="L195" s="38">
        <f t="shared" si="194"/>
        <v>0</v>
      </c>
      <c r="M195" s="38">
        <f t="shared" ref="M195:M196" si="195">L195+K195</f>
        <v>20638.489999999998</v>
      </c>
      <c r="N195" s="7"/>
      <c r="O195" s="39">
        <f t="shared" ref="O195:O196" si="196">M195/I195</f>
        <v>0.39386431297709917</v>
      </c>
      <c r="P195" s="7"/>
      <c r="Q195" s="7"/>
      <c r="R195" s="113">
        <f t="shared" ref="R195:U195" si="197">SUM(R196:R199)</f>
        <v>31761.510000000002</v>
      </c>
      <c r="S195" s="41">
        <f t="shared" si="197"/>
        <v>43450</v>
      </c>
      <c r="T195" s="41">
        <f t="shared" si="197"/>
        <v>0</v>
      </c>
      <c r="U195" s="41">
        <f t="shared" si="197"/>
        <v>43450</v>
      </c>
      <c r="V195" s="7"/>
      <c r="W195" s="290"/>
      <c r="X195" s="7"/>
      <c r="Y195" s="49"/>
      <c r="Z195" s="49"/>
      <c r="AA195" s="49"/>
      <c r="AB195" s="7"/>
      <c r="AC195" s="7"/>
      <c r="AD195" s="1"/>
      <c r="AE195" s="1"/>
    </row>
    <row r="196" spans="1:31" ht="11.25" customHeight="1">
      <c r="A196" s="49">
        <v>7020003</v>
      </c>
      <c r="B196" s="49"/>
      <c r="C196" s="22" t="s">
        <v>209</v>
      </c>
      <c r="D196" s="21"/>
      <c r="E196" s="21" t="s">
        <v>210</v>
      </c>
      <c r="F196" s="21"/>
      <c r="G196" s="58">
        <v>2000</v>
      </c>
      <c r="H196" s="58">
        <v>0</v>
      </c>
      <c r="I196" s="58">
        <f t="shared" ref="I196:I199" si="198">SUM(G196:H196)</f>
        <v>2000</v>
      </c>
      <c r="J196" s="21"/>
      <c r="K196" s="23">
        <v>1798.49</v>
      </c>
      <c r="L196" s="23">
        <v>0</v>
      </c>
      <c r="M196" s="23">
        <f t="shared" si="195"/>
        <v>1798.49</v>
      </c>
      <c r="N196" s="21"/>
      <c r="O196" s="59">
        <f t="shared" si="196"/>
        <v>0.89924499999999996</v>
      </c>
      <c r="P196" s="21"/>
      <c r="Q196" s="21"/>
      <c r="R196" s="61">
        <f t="shared" ref="R196:R199" si="199">I196-K196-L196</f>
        <v>201.51</v>
      </c>
      <c r="S196" s="60">
        <v>7000</v>
      </c>
      <c r="T196" s="60">
        <v>0</v>
      </c>
      <c r="U196" s="60">
        <f t="shared" ref="U196:U199" si="200">SUM(S196:T196)</f>
        <v>7000</v>
      </c>
      <c r="V196" s="21"/>
      <c r="W196" s="275" t="s">
        <v>211</v>
      </c>
      <c r="X196" s="1"/>
      <c r="Y196" s="49"/>
      <c r="Z196" s="49"/>
      <c r="AA196" s="49"/>
      <c r="AB196" s="21"/>
      <c r="AC196" s="21"/>
      <c r="AD196" s="1"/>
      <c r="AE196" s="1"/>
    </row>
    <row r="197" spans="1:31" ht="11.25" customHeight="1">
      <c r="A197" s="49">
        <v>7050004</v>
      </c>
      <c r="B197" s="49"/>
      <c r="C197" s="22" t="s">
        <v>212</v>
      </c>
      <c r="D197" s="21"/>
      <c r="E197" s="21" t="s">
        <v>213</v>
      </c>
      <c r="F197" s="21"/>
      <c r="G197" s="58">
        <v>0</v>
      </c>
      <c r="H197" s="58">
        <v>0</v>
      </c>
      <c r="I197" s="58">
        <f t="shared" si="198"/>
        <v>0</v>
      </c>
      <c r="J197" s="21"/>
      <c r="K197" s="23">
        <v>0</v>
      </c>
      <c r="L197" s="23">
        <v>0</v>
      </c>
      <c r="M197" s="23">
        <v>0</v>
      </c>
      <c r="N197" s="21"/>
      <c r="O197" s="59">
        <v>0</v>
      </c>
      <c r="P197" s="21"/>
      <c r="Q197" s="21"/>
      <c r="R197" s="61">
        <f t="shared" si="199"/>
        <v>0</v>
      </c>
      <c r="S197" s="60">
        <v>0</v>
      </c>
      <c r="T197" s="60">
        <v>0</v>
      </c>
      <c r="U197" s="60">
        <f t="shared" si="200"/>
        <v>0</v>
      </c>
      <c r="V197" s="21"/>
      <c r="W197" s="275"/>
      <c r="X197" s="21"/>
      <c r="Y197" s="49"/>
      <c r="Z197" s="49"/>
      <c r="AA197" s="49"/>
      <c r="AB197" s="21"/>
      <c r="AC197" s="21"/>
      <c r="AD197" s="1"/>
      <c r="AE197" s="1"/>
    </row>
    <row r="198" spans="1:31" ht="11.25" customHeight="1">
      <c r="A198" s="49"/>
      <c r="B198" s="49"/>
      <c r="C198" s="22" t="s">
        <v>214</v>
      </c>
      <c r="D198" s="21"/>
      <c r="E198" s="21" t="s">
        <v>215</v>
      </c>
      <c r="F198" s="21"/>
      <c r="G198" s="58">
        <v>18000</v>
      </c>
      <c r="H198" s="58">
        <v>0</v>
      </c>
      <c r="I198" s="58">
        <f t="shared" si="198"/>
        <v>18000</v>
      </c>
      <c r="J198" s="21"/>
      <c r="K198" s="23">
        <v>6000</v>
      </c>
      <c r="L198" s="23">
        <v>0</v>
      </c>
      <c r="M198" s="23">
        <f t="shared" ref="M198:M199" si="201">L198+K198</f>
        <v>6000</v>
      </c>
      <c r="N198" s="21"/>
      <c r="O198" s="59">
        <f t="shared" ref="O198:O199" si="202">M198/I198</f>
        <v>0.33333333333333331</v>
      </c>
      <c r="P198" s="21"/>
      <c r="Q198" s="21"/>
      <c r="R198" s="61">
        <f t="shared" si="199"/>
        <v>12000</v>
      </c>
      <c r="S198" s="60">
        <v>10000</v>
      </c>
      <c r="T198" s="60">
        <v>0</v>
      </c>
      <c r="U198" s="60">
        <f t="shared" si="200"/>
        <v>10000</v>
      </c>
      <c r="V198" s="21"/>
      <c r="W198" s="275" t="s">
        <v>216</v>
      </c>
      <c r="X198" s="21"/>
      <c r="Y198" s="49"/>
      <c r="Z198" s="49"/>
      <c r="AA198" s="49"/>
      <c r="AB198" s="21"/>
      <c r="AC198" s="21"/>
      <c r="AD198" s="1"/>
      <c r="AE198" s="1"/>
    </row>
    <row r="199" spans="1:31" ht="11.25" customHeight="1">
      <c r="A199" s="49">
        <v>7050005</v>
      </c>
      <c r="B199" s="49"/>
      <c r="C199" s="22" t="s">
        <v>217</v>
      </c>
      <c r="D199" s="21"/>
      <c r="E199" s="21" t="s">
        <v>218</v>
      </c>
      <c r="F199" s="21"/>
      <c r="G199" s="58">
        <f>35000-2600</f>
        <v>32400</v>
      </c>
      <c r="H199" s="58">
        <v>0</v>
      </c>
      <c r="I199" s="58">
        <f t="shared" si="198"/>
        <v>32400</v>
      </c>
      <c r="J199" s="21"/>
      <c r="K199" s="23">
        <v>12840</v>
      </c>
      <c r="L199" s="23">
        <v>0</v>
      </c>
      <c r="M199" s="23">
        <f t="shared" si="201"/>
        <v>12840</v>
      </c>
      <c r="N199" s="21"/>
      <c r="O199" s="59">
        <f t="shared" si="202"/>
        <v>0.39629629629629631</v>
      </c>
      <c r="P199" s="21"/>
      <c r="Q199" s="21"/>
      <c r="R199" s="61">
        <f t="shared" si="199"/>
        <v>19560</v>
      </c>
      <c r="S199" s="60">
        <v>26450</v>
      </c>
      <c r="T199" s="60">
        <v>0</v>
      </c>
      <c r="U199" s="60">
        <f t="shared" si="200"/>
        <v>26450</v>
      </c>
      <c r="V199" s="21"/>
      <c r="W199" s="303"/>
      <c r="X199" s="21"/>
      <c r="Y199" s="49"/>
      <c r="Z199" s="49"/>
      <c r="AA199" s="49"/>
      <c r="AB199" s="21"/>
      <c r="AC199" s="21"/>
      <c r="AD199" s="1"/>
      <c r="AE199" s="1"/>
    </row>
    <row r="200" spans="1:31" ht="4.5" customHeight="1" thickBot="1">
      <c r="A200" s="7"/>
      <c r="B200" s="7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9"/>
      <c r="P200" s="7"/>
      <c r="Q200" s="7"/>
      <c r="R200" s="7"/>
      <c r="S200" s="7"/>
      <c r="T200" s="7"/>
      <c r="U200" s="7"/>
      <c r="V200" s="7"/>
      <c r="W200" s="290"/>
      <c r="X200" s="7"/>
      <c r="Y200" s="49"/>
      <c r="Z200" s="49"/>
      <c r="AA200" s="49"/>
      <c r="AB200" s="7"/>
      <c r="AC200" s="7"/>
      <c r="AD200" s="1"/>
      <c r="AE200" s="1"/>
    </row>
    <row r="201" spans="1:31" ht="17.25" customHeight="1" thickTop="1" thickBot="1">
      <c r="A201" s="26"/>
      <c r="B201" s="26"/>
      <c r="C201" s="27">
        <v>4</v>
      </c>
      <c r="D201" s="28"/>
      <c r="E201" s="29" t="s">
        <v>164</v>
      </c>
      <c r="F201" s="28"/>
      <c r="G201" s="68">
        <v>0</v>
      </c>
      <c r="H201" s="68">
        <v>0</v>
      </c>
      <c r="I201" s="30">
        <v>0</v>
      </c>
      <c r="J201" s="28"/>
      <c r="K201" s="31">
        <v>0</v>
      </c>
      <c r="L201" s="31">
        <v>0</v>
      </c>
      <c r="M201" s="31">
        <v>0</v>
      </c>
      <c r="N201" s="28"/>
      <c r="O201" s="32">
        <v>0</v>
      </c>
      <c r="P201" s="28"/>
      <c r="Q201" s="28"/>
      <c r="R201" s="33"/>
      <c r="S201" s="34">
        <v>0</v>
      </c>
      <c r="T201" s="34">
        <v>0</v>
      </c>
      <c r="U201" s="33">
        <v>0</v>
      </c>
      <c r="V201" s="28"/>
      <c r="W201" s="298"/>
      <c r="X201" s="28"/>
      <c r="Y201" s="49"/>
      <c r="Z201" s="49"/>
      <c r="AA201" s="49"/>
      <c r="AB201" s="35"/>
      <c r="AC201" s="35"/>
      <c r="AD201" s="1"/>
      <c r="AE201" s="1"/>
    </row>
    <row r="202" spans="1:31" ht="6.75" customHeight="1" thickTop="1" thickBot="1">
      <c r="A202" s="7"/>
      <c r="B202" s="7"/>
      <c r="C202" s="8"/>
      <c r="D202" s="7"/>
      <c r="E202" s="7"/>
      <c r="F202" s="7"/>
      <c r="G202" s="94"/>
      <c r="H202" s="94"/>
      <c r="I202" s="94"/>
      <c r="J202" s="7"/>
      <c r="K202" s="94"/>
      <c r="L202" s="94"/>
      <c r="M202" s="94"/>
      <c r="N202" s="7"/>
      <c r="O202" s="73"/>
      <c r="P202" s="7"/>
      <c r="Q202" s="7"/>
      <c r="R202" s="94"/>
      <c r="S202" s="94"/>
      <c r="T202" s="94"/>
      <c r="U202" s="94"/>
      <c r="V202" s="7"/>
      <c r="W202" s="290"/>
      <c r="X202" s="7"/>
      <c r="Y202" s="49"/>
      <c r="Z202" s="49"/>
      <c r="AA202" s="49"/>
      <c r="AB202" s="7"/>
      <c r="AC202" s="7"/>
      <c r="AD202" s="1"/>
      <c r="AE202" s="1"/>
    </row>
    <row r="203" spans="1:31" ht="17.25" customHeight="1" thickTop="1" thickBot="1">
      <c r="A203" s="26">
        <v>7520001</v>
      </c>
      <c r="B203" s="26"/>
      <c r="C203" s="27">
        <v>5</v>
      </c>
      <c r="D203" s="28"/>
      <c r="E203" s="29" t="s">
        <v>165</v>
      </c>
      <c r="F203" s="28"/>
      <c r="G203" s="68">
        <f t="shared" ref="G203:H203" si="203">SUM(G205:G207)</f>
        <v>100</v>
      </c>
      <c r="H203" s="68">
        <f t="shared" si="203"/>
        <v>0</v>
      </c>
      <c r="I203" s="30">
        <f>I205+I206+I207</f>
        <v>100</v>
      </c>
      <c r="J203" s="28"/>
      <c r="K203" s="31">
        <f t="shared" ref="K203:L203" si="204">K205+K206+K207</f>
        <v>145.15</v>
      </c>
      <c r="L203" s="31">
        <f t="shared" si="204"/>
        <v>0</v>
      </c>
      <c r="M203" s="31">
        <f>L203+K203</f>
        <v>145.15</v>
      </c>
      <c r="N203" s="28"/>
      <c r="O203" s="32">
        <f>M203/I203</f>
        <v>1.4515</v>
      </c>
      <c r="P203" s="28"/>
      <c r="Q203" s="28"/>
      <c r="R203" s="33">
        <f>R205+R206+R207</f>
        <v>-45.150000000000006</v>
      </c>
      <c r="S203" s="34">
        <f t="shared" ref="S203:T203" si="205">SUM(S205:S207)</f>
        <v>300</v>
      </c>
      <c r="T203" s="34">
        <f t="shared" si="205"/>
        <v>0</v>
      </c>
      <c r="U203" s="33">
        <f>U205+U206+U207</f>
        <v>300</v>
      </c>
      <c r="V203" s="28"/>
      <c r="W203" s="298"/>
      <c r="X203" s="28"/>
      <c r="Y203" s="49"/>
      <c r="Z203" s="49"/>
      <c r="AA203" s="49"/>
      <c r="AB203" s="35"/>
      <c r="AC203" s="35"/>
      <c r="AD203" s="1"/>
      <c r="AE203" s="1"/>
    </row>
    <row r="204" spans="1:31" ht="6" customHeight="1" thickTop="1">
      <c r="A204" s="7"/>
      <c r="B204" s="7"/>
      <c r="C204" s="8"/>
      <c r="D204" s="7"/>
      <c r="E204" s="7"/>
      <c r="F204" s="7"/>
      <c r="G204" s="94"/>
      <c r="H204" s="94"/>
      <c r="I204" s="94"/>
      <c r="J204" s="7"/>
      <c r="K204" s="94"/>
      <c r="L204" s="94"/>
      <c r="M204" s="94"/>
      <c r="N204" s="7"/>
      <c r="O204" s="73"/>
      <c r="P204" s="7"/>
      <c r="Q204" s="7"/>
      <c r="R204" s="94"/>
      <c r="S204" s="94"/>
      <c r="T204" s="94"/>
      <c r="U204" s="94"/>
      <c r="V204" s="7"/>
      <c r="W204" s="290"/>
      <c r="X204" s="7"/>
      <c r="Y204" s="49"/>
      <c r="Z204" s="49"/>
      <c r="AA204" s="49"/>
      <c r="AB204" s="7"/>
      <c r="AC204" s="7"/>
      <c r="AD204" s="1"/>
      <c r="AE204" s="1"/>
    </row>
    <row r="205" spans="1:31" ht="12.75" customHeight="1">
      <c r="A205" s="7">
        <v>7690001</v>
      </c>
      <c r="B205" s="7"/>
      <c r="C205" s="36">
        <v>50</v>
      </c>
      <c r="D205" s="7"/>
      <c r="E205" s="14" t="s">
        <v>219</v>
      </c>
      <c r="F205" s="7"/>
      <c r="G205" s="37">
        <v>0</v>
      </c>
      <c r="H205" s="37">
        <v>0</v>
      </c>
      <c r="I205" s="37">
        <f t="shared" ref="I205:I206" si="206">SUM(G205:H205)</f>
        <v>0</v>
      </c>
      <c r="J205" s="7"/>
      <c r="K205" s="38"/>
      <c r="L205" s="38"/>
      <c r="M205" s="38"/>
      <c r="N205" s="7"/>
      <c r="O205" s="39"/>
      <c r="P205" s="7"/>
      <c r="Q205" s="7"/>
      <c r="R205" s="113"/>
      <c r="S205" s="41">
        <v>0</v>
      </c>
      <c r="T205" s="41">
        <v>0</v>
      </c>
      <c r="U205" s="41">
        <f t="shared" ref="U205:U206" si="207">SUM(S205:T205)</f>
        <v>0</v>
      </c>
      <c r="V205" s="7"/>
      <c r="W205" s="275" t="s">
        <v>423</v>
      </c>
      <c r="X205" s="7"/>
      <c r="Y205" s="49"/>
      <c r="Z205" s="49"/>
      <c r="AA205" s="49"/>
      <c r="AB205" s="7"/>
      <c r="AC205" s="7"/>
      <c r="AD205" s="1"/>
      <c r="AE205" s="1"/>
    </row>
    <row r="206" spans="1:31" ht="12.75" customHeight="1">
      <c r="A206" s="7">
        <v>7690002</v>
      </c>
      <c r="B206" s="7"/>
      <c r="C206" s="36">
        <v>53</v>
      </c>
      <c r="D206" s="7"/>
      <c r="E206" s="14" t="s">
        <v>220</v>
      </c>
      <c r="F206" s="7"/>
      <c r="G206" s="37">
        <v>0</v>
      </c>
      <c r="H206" s="37">
        <v>0</v>
      </c>
      <c r="I206" s="37">
        <f t="shared" si="206"/>
        <v>0</v>
      </c>
      <c r="J206" s="7"/>
      <c r="K206" s="38"/>
      <c r="L206" s="38"/>
      <c r="M206" s="38"/>
      <c r="N206" s="7"/>
      <c r="O206" s="39"/>
      <c r="P206" s="7"/>
      <c r="Q206" s="7"/>
      <c r="R206" s="113"/>
      <c r="S206" s="41">
        <v>0</v>
      </c>
      <c r="T206" s="41">
        <v>0</v>
      </c>
      <c r="U206" s="41">
        <f t="shared" si="207"/>
        <v>0</v>
      </c>
      <c r="V206" s="7"/>
      <c r="W206" s="290"/>
      <c r="X206" s="7"/>
      <c r="Y206" s="49"/>
      <c r="Z206" s="49"/>
      <c r="AA206" s="49"/>
      <c r="AB206" s="7"/>
      <c r="AC206" s="7"/>
      <c r="AD206" s="1"/>
      <c r="AE206" s="1"/>
    </row>
    <row r="207" spans="1:31" ht="12.75" customHeight="1">
      <c r="A207" s="7">
        <v>7690003</v>
      </c>
      <c r="B207" s="7"/>
      <c r="C207" s="36">
        <v>54</v>
      </c>
      <c r="D207" s="7"/>
      <c r="E207" s="14" t="s">
        <v>221</v>
      </c>
      <c r="F207" s="7"/>
      <c r="G207" s="37">
        <v>100</v>
      </c>
      <c r="H207" s="37">
        <v>0</v>
      </c>
      <c r="I207" s="37">
        <f>G207</f>
        <v>100</v>
      </c>
      <c r="J207" s="7"/>
      <c r="K207" s="38">
        <v>145.15</v>
      </c>
      <c r="L207" s="38">
        <v>0</v>
      </c>
      <c r="M207" s="38">
        <f>L207+K207</f>
        <v>145.15</v>
      </c>
      <c r="N207" s="7"/>
      <c r="O207" s="39">
        <f>M207/I207</f>
        <v>1.4515</v>
      </c>
      <c r="P207" s="7"/>
      <c r="Q207" s="7"/>
      <c r="R207" s="113">
        <f>I207-M207</f>
        <v>-45.150000000000006</v>
      </c>
      <c r="S207" s="41">
        <v>300</v>
      </c>
      <c r="T207" s="41">
        <v>0</v>
      </c>
      <c r="U207" s="41">
        <f>S207</f>
        <v>300</v>
      </c>
      <c r="V207" s="7"/>
      <c r="W207" s="290"/>
      <c r="X207" s="7"/>
      <c r="Y207" s="49"/>
      <c r="Z207" s="49"/>
      <c r="AA207" s="49"/>
      <c r="AB207" s="7"/>
      <c r="AC207" s="7"/>
      <c r="AD207" s="1"/>
      <c r="AE207" s="1"/>
    </row>
    <row r="208" spans="1:31" ht="5.25" customHeight="1" thickBot="1">
      <c r="A208" s="7"/>
      <c r="B208" s="7"/>
      <c r="C208" s="8"/>
      <c r="D208" s="7"/>
      <c r="E208" s="7"/>
      <c r="F208" s="7"/>
      <c r="G208" s="94"/>
      <c r="H208" s="94"/>
      <c r="I208" s="94"/>
      <c r="J208" s="7"/>
      <c r="K208" s="94"/>
      <c r="L208" s="94"/>
      <c r="M208" s="94"/>
      <c r="N208" s="7"/>
      <c r="O208" s="73"/>
      <c r="P208" s="7"/>
      <c r="Q208" s="7"/>
      <c r="R208" s="94"/>
      <c r="S208" s="94"/>
      <c r="T208" s="94"/>
      <c r="U208" s="94"/>
      <c r="V208" s="7"/>
      <c r="W208" s="290"/>
      <c r="X208" s="7"/>
      <c r="Y208" s="49"/>
      <c r="Z208" s="49"/>
      <c r="AA208" s="49"/>
      <c r="AB208" s="7"/>
      <c r="AC208" s="7"/>
      <c r="AD208" s="1"/>
      <c r="AE208" s="1"/>
    </row>
    <row r="209" spans="1:31" ht="17.25" customHeight="1" thickTop="1" thickBot="1">
      <c r="A209" s="26"/>
      <c r="B209" s="26"/>
      <c r="C209" s="27">
        <v>8</v>
      </c>
      <c r="D209" s="28"/>
      <c r="E209" s="29" t="s">
        <v>145</v>
      </c>
      <c r="F209" s="28"/>
      <c r="G209" s="68">
        <f t="shared" ref="G209:I209" si="208">G211+G212+G213</f>
        <v>0</v>
      </c>
      <c r="H209" s="68">
        <f t="shared" si="208"/>
        <v>20000</v>
      </c>
      <c r="I209" s="30">
        <f t="shared" si="208"/>
        <v>20000</v>
      </c>
      <c r="J209" s="28"/>
      <c r="K209" s="31"/>
      <c r="L209" s="31"/>
      <c r="M209" s="31"/>
      <c r="N209" s="28"/>
      <c r="O209" s="102"/>
      <c r="P209" s="28"/>
      <c r="Q209" s="28"/>
      <c r="R209" s="33"/>
      <c r="S209" s="34">
        <f t="shared" ref="S209:U209" si="209">S211+S212+S213</f>
        <v>0</v>
      </c>
      <c r="T209" s="34">
        <f t="shared" si="209"/>
        <v>20000</v>
      </c>
      <c r="U209" s="33">
        <f t="shared" si="209"/>
        <v>20000</v>
      </c>
      <c r="V209" s="28"/>
      <c r="W209" s="298"/>
      <c r="X209" s="28"/>
      <c r="Y209" s="49"/>
      <c r="Z209" s="49"/>
      <c r="AA209" s="49"/>
      <c r="AB209" s="35"/>
      <c r="AC209" s="35"/>
      <c r="AD209" s="1"/>
      <c r="AE209" s="1"/>
    </row>
    <row r="210" spans="1:31" ht="6" customHeight="1" thickTop="1">
      <c r="A210" s="7"/>
      <c r="B210" s="7"/>
      <c r="C210" s="8"/>
      <c r="D210" s="7"/>
      <c r="E210" s="7"/>
      <c r="F210" s="7"/>
      <c r="G210" s="94"/>
      <c r="H210" s="94"/>
      <c r="I210" s="94"/>
      <c r="J210" s="7"/>
      <c r="K210" s="94"/>
      <c r="L210" s="94"/>
      <c r="M210" s="94"/>
      <c r="N210" s="7"/>
      <c r="O210" s="73"/>
      <c r="P210" s="7"/>
      <c r="Q210" s="7"/>
      <c r="R210" s="94"/>
      <c r="S210" s="94"/>
      <c r="T210" s="94"/>
      <c r="U210" s="94"/>
      <c r="V210" s="7"/>
      <c r="W210" s="290"/>
      <c r="X210" s="7"/>
      <c r="Y210" s="49"/>
      <c r="Z210" s="49"/>
      <c r="AA210" s="49"/>
      <c r="AB210" s="7"/>
      <c r="AC210" s="7"/>
      <c r="AD210" s="1"/>
      <c r="AE210" s="1"/>
    </row>
    <row r="211" spans="1:31" ht="12.75" customHeight="1">
      <c r="A211" s="7"/>
      <c r="B211" s="7"/>
      <c r="C211" s="36">
        <v>82</v>
      </c>
      <c r="D211" s="7"/>
      <c r="E211" s="14" t="s">
        <v>222</v>
      </c>
      <c r="F211" s="7"/>
      <c r="G211" s="113">
        <v>0</v>
      </c>
      <c r="H211" s="113">
        <v>0</v>
      </c>
      <c r="I211" s="113">
        <f t="shared" ref="I211:I213" si="210">SUM(G211:H211)</f>
        <v>0</v>
      </c>
      <c r="J211" s="7"/>
      <c r="K211" s="38"/>
      <c r="L211" s="38"/>
      <c r="M211" s="38"/>
      <c r="N211" s="7"/>
      <c r="O211" s="39"/>
      <c r="P211" s="7"/>
      <c r="Q211" s="7"/>
      <c r="R211" s="113"/>
      <c r="S211" s="41">
        <v>0</v>
      </c>
      <c r="T211" s="41">
        <v>0</v>
      </c>
      <c r="U211" s="41">
        <f t="shared" ref="U211:U213" si="211">SUM(S211:T211)</f>
        <v>0</v>
      </c>
      <c r="V211" s="7"/>
      <c r="X211" s="7"/>
      <c r="Y211" s="49"/>
      <c r="Z211" s="49"/>
      <c r="AA211" s="49"/>
      <c r="AB211" s="7"/>
      <c r="AC211" s="7"/>
      <c r="AD211" s="1"/>
      <c r="AE211" s="1"/>
    </row>
    <row r="212" spans="1:31" ht="12.75" customHeight="1">
      <c r="A212" s="7"/>
      <c r="B212" s="7"/>
      <c r="C212" s="36">
        <v>83</v>
      </c>
      <c r="D212" s="7"/>
      <c r="E212" s="14" t="s">
        <v>223</v>
      </c>
      <c r="F212" s="7"/>
      <c r="G212" s="113">
        <v>0</v>
      </c>
      <c r="H212" s="113">
        <v>0</v>
      </c>
      <c r="I212" s="113">
        <f t="shared" si="210"/>
        <v>0</v>
      </c>
      <c r="J212" s="7"/>
      <c r="K212" s="38"/>
      <c r="L212" s="38"/>
      <c r="M212" s="38"/>
      <c r="N212" s="7"/>
      <c r="O212" s="39"/>
      <c r="P212" s="7"/>
      <c r="Q212" s="7"/>
      <c r="R212" s="113"/>
      <c r="S212" s="41">
        <v>0</v>
      </c>
      <c r="T212" s="41">
        <v>0</v>
      </c>
      <c r="U212" s="41">
        <f t="shared" si="211"/>
        <v>0</v>
      </c>
      <c r="V212" s="7"/>
      <c r="W212" s="290"/>
      <c r="X212" s="7"/>
      <c r="Y212" s="49"/>
      <c r="Z212" s="49"/>
      <c r="AA212" s="49"/>
      <c r="AB212" s="7"/>
      <c r="AC212" s="7"/>
      <c r="AD212" s="1"/>
      <c r="AE212" s="1"/>
    </row>
    <row r="213" spans="1:31" ht="12.75" customHeight="1">
      <c r="A213" s="7"/>
      <c r="B213" s="7"/>
      <c r="C213" s="36">
        <v>87</v>
      </c>
      <c r="D213" s="7"/>
      <c r="E213" s="14" t="s">
        <v>224</v>
      </c>
      <c r="F213" s="7"/>
      <c r="G213" s="113">
        <v>0</v>
      </c>
      <c r="H213" s="113">
        <v>20000</v>
      </c>
      <c r="I213" s="113">
        <f t="shared" si="210"/>
        <v>20000</v>
      </c>
      <c r="J213" s="7"/>
      <c r="K213" s="38"/>
      <c r="L213" s="38"/>
      <c r="M213" s="38"/>
      <c r="N213" s="7"/>
      <c r="O213" s="39"/>
      <c r="P213" s="7"/>
      <c r="Q213" s="7"/>
      <c r="R213" s="113"/>
      <c r="S213" s="41">
        <v>0</v>
      </c>
      <c r="T213" s="41">
        <v>20000</v>
      </c>
      <c r="U213" s="41">
        <f t="shared" si="211"/>
        <v>20000</v>
      </c>
      <c r="V213" s="7"/>
      <c r="W213" s="290"/>
      <c r="X213" s="7"/>
      <c r="Y213" s="49"/>
      <c r="Z213" s="49"/>
      <c r="AA213" s="49"/>
      <c r="AB213" s="7"/>
      <c r="AC213" s="7"/>
      <c r="AD213" s="1"/>
      <c r="AE213" s="1"/>
    </row>
    <row r="214" spans="1:31" ht="6" customHeight="1" thickBot="1">
      <c r="A214" s="7"/>
      <c r="B214" s="7"/>
      <c r="C214" s="8"/>
      <c r="D214" s="7"/>
      <c r="E214" s="7"/>
      <c r="F214" s="7"/>
      <c r="G214" s="94"/>
      <c r="H214" s="94"/>
      <c r="I214" s="94"/>
      <c r="J214" s="7"/>
      <c r="K214" s="94"/>
      <c r="L214" s="94"/>
      <c r="M214" s="94"/>
      <c r="N214" s="7"/>
      <c r="O214" s="73"/>
      <c r="P214" s="7"/>
      <c r="Q214" s="7"/>
      <c r="R214" s="94"/>
      <c r="S214" s="94"/>
      <c r="T214" s="94"/>
      <c r="U214" s="94"/>
      <c r="V214" s="7"/>
      <c r="W214" s="290"/>
      <c r="X214" s="7"/>
      <c r="Y214" s="49"/>
      <c r="Z214" s="49"/>
      <c r="AA214" s="49"/>
      <c r="AB214" s="7"/>
      <c r="AC214" s="7"/>
      <c r="AD214" s="1"/>
      <c r="AE214" s="1"/>
    </row>
    <row r="215" spans="1:31" ht="17.25" customHeight="1" thickTop="1" thickBot="1">
      <c r="A215" s="26"/>
      <c r="B215" s="26"/>
      <c r="C215" s="27">
        <v>9</v>
      </c>
      <c r="D215" s="28"/>
      <c r="E215" s="29" t="s">
        <v>225</v>
      </c>
      <c r="F215" s="28"/>
      <c r="G215" s="68">
        <f t="shared" ref="G215:I215" si="212">G217+G218</f>
        <v>0</v>
      </c>
      <c r="H215" s="68">
        <f t="shared" si="212"/>
        <v>0</v>
      </c>
      <c r="I215" s="30">
        <f t="shared" si="212"/>
        <v>0</v>
      </c>
      <c r="J215" s="28"/>
      <c r="K215" s="31"/>
      <c r="L215" s="31"/>
      <c r="M215" s="31"/>
      <c r="N215" s="28"/>
      <c r="O215" s="102"/>
      <c r="P215" s="28"/>
      <c r="Q215" s="28"/>
      <c r="R215" s="33"/>
      <c r="S215" s="34">
        <f t="shared" ref="S215:U215" si="213">S217+S218</f>
        <v>0</v>
      </c>
      <c r="T215" s="34">
        <f t="shared" si="213"/>
        <v>0</v>
      </c>
      <c r="U215" s="33">
        <f t="shared" si="213"/>
        <v>0</v>
      </c>
      <c r="V215" s="28"/>
      <c r="W215" s="298"/>
      <c r="X215" s="28"/>
      <c r="Y215" s="49"/>
      <c r="Z215" s="49"/>
      <c r="AA215" s="49"/>
      <c r="AB215" s="35"/>
      <c r="AC215" s="35"/>
      <c r="AD215" s="1"/>
      <c r="AE215" s="1"/>
    </row>
    <row r="216" spans="1:31" ht="6" customHeight="1" thickTop="1">
      <c r="A216" s="7"/>
      <c r="B216" s="7"/>
      <c r="C216" s="8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9"/>
      <c r="P216" s="7"/>
      <c r="Q216" s="7"/>
      <c r="R216" s="7"/>
      <c r="S216" s="7"/>
      <c r="T216" s="7"/>
      <c r="U216" s="7"/>
      <c r="V216" s="7"/>
      <c r="W216" s="290"/>
      <c r="X216" s="7"/>
      <c r="Y216" s="49"/>
      <c r="Z216" s="49"/>
      <c r="AA216" s="49"/>
      <c r="AB216" s="7"/>
      <c r="AC216" s="7"/>
      <c r="AD216" s="1"/>
      <c r="AE216" s="1"/>
    </row>
    <row r="217" spans="1:31" ht="12.75" customHeight="1">
      <c r="A217" s="7"/>
      <c r="B217" s="7"/>
      <c r="C217" s="36">
        <v>92</v>
      </c>
      <c r="D217" s="7"/>
      <c r="E217" s="14" t="s">
        <v>226</v>
      </c>
      <c r="F217" s="7"/>
      <c r="G217" s="113">
        <v>0</v>
      </c>
      <c r="H217" s="113">
        <v>0</v>
      </c>
      <c r="I217" s="113">
        <f t="shared" ref="I217:I218" si="214">SUM(G217:H217)</f>
        <v>0</v>
      </c>
      <c r="J217" s="7"/>
      <c r="K217" s="38"/>
      <c r="L217" s="38"/>
      <c r="M217" s="38"/>
      <c r="N217" s="7"/>
      <c r="O217" s="105"/>
      <c r="P217" s="7"/>
      <c r="Q217" s="7"/>
      <c r="R217" s="113"/>
      <c r="S217" s="41">
        <v>0</v>
      </c>
      <c r="T217" s="41">
        <v>0</v>
      </c>
      <c r="U217" s="41">
        <f t="shared" ref="U217:U218" si="215">SUM(S217:T217)</f>
        <v>0</v>
      </c>
      <c r="V217" s="7"/>
      <c r="W217" s="290"/>
      <c r="X217" s="7"/>
      <c r="Y217" s="49"/>
      <c r="Z217" s="49"/>
      <c r="AA217" s="49"/>
      <c r="AB217" s="7"/>
      <c r="AC217" s="7"/>
      <c r="AD217" s="1"/>
      <c r="AE217" s="1"/>
    </row>
    <row r="218" spans="1:31" ht="12.75" customHeight="1">
      <c r="A218" s="7"/>
      <c r="B218" s="7"/>
      <c r="C218" s="36">
        <v>93</v>
      </c>
      <c r="D218" s="7"/>
      <c r="E218" s="14" t="s">
        <v>227</v>
      </c>
      <c r="F218" s="7"/>
      <c r="G218" s="113">
        <v>0</v>
      </c>
      <c r="H218" s="113">
        <v>0</v>
      </c>
      <c r="I218" s="113">
        <f t="shared" si="214"/>
        <v>0</v>
      </c>
      <c r="J218" s="7"/>
      <c r="K218" s="38"/>
      <c r="L218" s="38"/>
      <c r="M218" s="38"/>
      <c r="N218" s="7"/>
      <c r="O218" s="105"/>
      <c r="P218" s="7"/>
      <c r="Q218" s="7"/>
      <c r="R218" s="113"/>
      <c r="S218" s="41">
        <v>0</v>
      </c>
      <c r="T218" s="41">
        <v>0</v>
      </c>
      <c r="U218" s="41">
        <f t="shared" si="215"/>
        <v>0</v>
      </c>
      <c r="V218" s="7"/>
      <c r="W218" s="290"/>
      <c r="X218" s="7"/>
      <c r="Y218" s="48"/>
      <c r="Z218" s="11"/>
      <c r="AA218" s="7"/>
      <c r="AB218" s="7"/>
      <c r="AC218" s="7"/>
      <c r="AD218" s="1"/>
      <c r="AE218" s="1"/>
    </row>
    <row r="219" spans="1:31" ht="7.5" customHeight="1">
      <c r="A219" s="7"/>
      <c r="B219" s="7"/>
      <c r="C219" s="36"/>
      <c r="D219" s="7"/>
      <c r="E219" s="14"/>
      <c r="F219" s="7"/>
      <c r="G219" s="7"/>
      <c r="H219" s="7"/>
      <c r="I219" s="7"/>
      <c r="J219" s="7"/>
      <c r="K219" s="7"/>
      <c r="L219" s="7"/>
      <c r="M219" s="7"/>
      <c r="N219" s="7"/>
      <c r="O219" s="9"/>
      <c r="P219" s="7"/>
      <c r="Q219" s="7"/>
      <c r="R219" s="7"/>
      <c r="S219" s="7"/>
      <c r="T219" s="7"/>
      <c r="U219" s="7"/>
      <c r="V219" s="7"/>
      <c r="W219" s="290"/>
      <c r="X219" s="7"/>
      <c r="Y219" s="48"/>
      <c r="Z219" s="11"/>
      <c r="AA219" s="7"/>
      <c r="AB219" s="7"/>
      <c r="AC219" s="7"/>
      <c r="AD219" s="1"/>
      <c r="AE219" s="1"/>
    </row>
    <row r="220" spans="1:31" ht="144.75" customHeight="1">
      <c r="A220" s="1"/>
      <c r="B220" s="1"/>
      <c r="C220" s="2"/>
      <c r="D220" s="1"/>
      <c r="E220" s="1"/>
      <c r="F220" s="1"/>
      <c r="G220" s="1"/>
      <c r="H220" s="1"/>
      <c r="I220" s="4"/>
      <c r="J220" s="1"/>
      <c r="K220" s="4"/>
      <c r="L220" s="4"/>
      <c r="M220" s="4"/>
      <c r="N220" s="1"/>
      <c r="O220" s="6"/>
      <c r="P220" s="1"/>
      <c r="Q220" s="1"/>
      <c r="R220" s="4"/>
      <c r="S220" s="1"/>
      <c r="T220" s="1"/>
      <c r="V220" s="1"/>
      <c r="W220" s="290"/>
      <c r="X220" s="1"/>
      <c r="Y220" s="1"/>
      <c r="Z220" s="1"/>
      <c r="AA220" s="1"/>
      <c r="AB220" s="1"/>
      <c r="AC220" s="1"/>
      <c r="AD220" s="1"/>
      <c r="AE220" s="1"/>
    </row>
    <row r="221" spans="1:31" ht="15.75" customHeight="1">
      <c r="A221" s="1"/>
      <c r="B221" s="1"/>
      <c r="C221" s="2"/>
      <c r="D221" s="1"/>
      <c r="E221" s="1"/>
      <c r="F221" s="1"/>
      <c r="G221" s="1"/>
      <c r="H221" s="1"/>
      <c r="J221" s="1"/>
      <c r="K221" s="1"/>
      <c r="L221" s="1"/>
      <c r="M221" s="1"/>
      <c r="N221" s="1"/>
      <c r="O221" s="3"/>
      <c r="P221" s="1"/>
      <c r="Q221" s="1"/>
      <c r="R221" s="4" t="s">
        <v>173</v>
      </c>
      <c r="S221" s="1"/>
      <c r="T221" s="1"/>
      <c r="U221" s="4" t="s">
        <v>228</v>
      </c>
      <c r="V221" s="1"/>
      <c r="W221" s="290"/>
      <c r="X221" s="1"/>
      <c r="Y221" s="1"/>
      <c r="Z221" s="1"/>
      <c r="AA221" s="1"/>
      <c r="AB221" s="1"/>
      <c r="AC221" s="1"/>
      <c r="AD221" s="1"/>
      <c r="AE221" s="1"/>
    </row>
    <row r="222" spans="1:31" ht="10.5" customHeight="1" thickBot="1">
      <c r="A222" s="7"/>
      <c r="B222" s="7"/>
      <c r="C222" s="8"/>
      <c r="D222" s="7"/>
      <c r="E222" s="7"/>
      <c r="F222" s="7"/>
      <c r="G222" s="106"/>
      <c r="H222" s="106"/>
      <c r="I222" s="1"/>
      <c r="J222" s="7"/>
      <c r="K222" s="1"/>
      <c r="L222" s="1"/>
      <c r="M222" s="1"/>
      <c r="N222" s="7"/>
      <c r="O222" s="3"/>
      <c r="P222" s="7"/>
      <c r="Q222" s="7"/>
      <c r="R222" s="1"/>
      <c r="S222" s="106"/>
      <c r="T222" s="106"/>
      <c r="U222" s="1"/>
      <c r="V222" s="7"/>
      <c r="W222" s="290"/>
      <c r="X222" s="7"/>
      <c r="Y222" s="48"/>
      <c r="Z222" s="7"/>
      <c r="AA222" s="7"/>
      <c r="AB222" s="7"/>
      <c r="AC222" s="7"/>
      <c r="AD222" s="1"/>
      <c r="AE222" s="1"/>
    </row>
    <row r="223" spans="1:31" ht="12.75">
      <c r="A223" s="122"/>
      <c r="B223" s="122"/>
      <c r="C223" s="428" t="s">
        <v>229</v>
      </c>
      <c r="D223" s="122"/>
      <c r="E223" s="411" t="s">
        <v>230</v>
      </c>
      <c r="F223" s="122"/>
      <c r="G223" s="429" t="s">
        <v>233</v>
      </c>
      <c r="H223" s="377"/>
      <c r="I223" s="378"/>
      <c r="J223" s="122"/>
      <c r="K223" s="400" t="s">
        <v>234</v>
      </c>
      <c r="L223" s="377"/>
      <c r="M223" s="378"/>
      <c r="N223" s="122"/>
      <c r="O223" s="12" t="s">
        <v>5</v>
      </c>
      <c r="P223" s="122"/>
      <c r="Q223" s="122"/>
      <c r="R223" s="422" t="s">
        <v>37</v>
      </c>
      <c r="S223" s="425" t="s">
        <v>4</v>
      </c>
      <c r="T223" s="377"/>
      <c r="U223" s="378"/>
      <c r="V223" s="122"/>
      <c r="W223" s="304"/>
      <c r="X223" s="122"/>
      <c r="Y223" s="123"/>
      <c r="Z223" s="124"/>
      <c r="AA223" s="122"/>
      <c r="AB223" s="122"/>
      <c r="AC223" s="122"/>
      <c r="AD223" s="125"/>
      <c r="AE223" s="125"/>
    </row>
    <row r="224" spans="1:31" ht="25.5" customHeight="1" thickBot="1">
      <c r="A224" s="122"/>
      <c r="B224" s="122"/>
      <c r="C224" s="410"/>
      <c r="D224" s="122"/>
      <c r="E224" s="410"/>
      <c r="F224" s="122"/>
      <c r="G224" s="379"/>
      <c r="H224" s="380"/>
      <c r="I224" s="381"/>
      <c r="J224" s="122"/>
      <c r="K224" s="379"/>
      <c r="L224" s="380"/>
      <c r="M224" s="381"/>
      <c r="N224" s="122"/>
      <c r="O224" s="17" t="s">
        <v>237</v>
      </c>
      <c r="P224" s="122"/>
      <c r="Q224" s="122"/>
      <c r="R224" s="410"/>
      <c r="S224" s="379"/>
      <c r="T224" s="380"/>
      <c r="U224" s="381"/>
      <c r="V224" s="122"/>
      <c r="W224" s="304"/>
      <c r="X224" s="122"/>
      <c r="Y224" s="123"/>
      <c r="Z224" s="124"/>
      <c r="AA224" s="122"/>
      <c r="AB224" s="122"/>
      <c r="AC224" s="122"/>
      <c r="AD224" s="125"/>
      <c r="AE224" s="125"/>
    </row>
    <row r="225" spans="1:31" ht="6" customHeight="1" thickBot="1">
      <c r="A225" s="7"/>
      <c r="B225" s="7"/>
      <c r="C225" s="8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9"/>
      <c r="P225" s="7"/>
      <c r="Q225" s="7"/>
      <c r="R225" s="7"/>
      <c r="S225" s="7"/>
      <c r="T225" s="7"/>
      <c r="U225" s="7"/>
      <c r="V225" s="7"/>
      <c r="W225" s="290"/>
      <c r="X225" s="7"/>
      <c r="Y225" s="48"/>
      <c r="Z225" s="7"/>
      <c r="AA225" s="7"/>
      <c r="AB225" s="7"/>
      <c r="AC225" s="7"/>
      <c r="AD225" s="1"/>
      <c r="AE225" s="1"/>
    </row>
    <row r="226" spans="1:31" ht="14.25" customHeight="1">
      <c r="A226" s="8"/>
      <c r="B226" s="8"/>
      <c r="C226" s="126">
        <v>1</v>
      </c>
      <c r="D226" s="127"/>
      <c r="E226" s="128" t="s">
        <v>231</v>
      </c>
      <c r="F226" s="8"/>
      <c r="G226" s="129">
        <f t="shared" ref="G226:H226" si="216">G8</f>
        <v>68150</v>
      </c>
      <c r="H226" s="130">
        <f t="shared" si="216"/>
        <v>8050</v>
      </c>
      <c r="I226" s="131">
        <f t="shared" ref="I226:I232" si="217">SUM(G226:H226)</f>
        <v>76200</v>
      </c>
      <c r="J226" s="8"/>
      <c r="K226" s="132">
        <f t="shared" ref="K226:L226" si="218">K8</f>
        <v>52719.91</v>
      </c>
      <c r="L226" s="133">
        <f t="shared" si="218"/>
        <v>0</v>
      </c>
      <c r="M226" s="134">
        <f t="shared" ref="M226:M232" si="219">L226+K226</f>
        <v>52719.91</v>
      </c>
      <c r="N226" s="8"/>
      <c r="O226" s="135">
        <f t="shared" ref="O226:O227" si="220">M226/I226</f>
        <v>0.69186233595800528</v>
      </c>
      <c r="P226" s="8"/>
      <c r="Q226" s="8"/>
      <c r="R226" s="136">
        <f t="shared" ref="R226:R227" si="221">I226-K226-L226</f>
        <v>23480.089999999997</v>
      </c>
      <c r="S226" s="137">
        <f t="shared" ref="S226:T226" si="222">S8</f>
        <v>85300</v>
      </c>
      <c r="T226" s="138">
        <f t="shared" si="222"/>
        <v>4000</v>
      </c>
      <c r="U226" s="139">
        <f t="shared" ref="U226:U232" si="223">SUM(S226:T226)</f>
        <v>89300</v>
      </c>
      <c r="V226" s="8"/>
      <c r="W226" s="305"/>
      <c r="X226" s="8"/>
      <c r="Y226" s="140"/>
      <c r="Z226" s="36"/>
      <c r="AA226" s="8"/>
      <c r="AB226" s="8"/>
      <c r="AC226" s="8"/>
      <c r="AD226" s="2"/>
      <c r="AE226" s="2"/>
    </row>
    <row r="227" spans="1:31" ht="18" customHeight="1">
      <c r="A227" s="8"/>
      <c r="B227" s="8"/>
      <c r="C227" s="141">
        <v>2</v>
      </c>
      <c r="D227" s="127"/>
      <c r="E227" s="142" t="s">
        <v>232</v>
      </c>
      <c r="F227" s="8"/>
      <c r="G227" s="143">
        <f t="shared" ref="G227:H227" si="224">G41</f>
        <v>119920</v>
      </c>
      <c r="H227" s="144">
        <f t="shared" si="224"/>
        <v>27300</v>
      </c>
      <c r="I227" s="145">
        <f t="shared" si="217"/>
        <v>147220</v>
      </c>
      <c r="J227" s="8"/>
      <c r="K227" s="146">
        <f t="shared" ref="K227:L227" si="225">K41</f>
        <v>71274.459999999992</v>
      </c>
      <c r="L227" s="147">
        <f t="shared" si="225"/>
        <v>6463.42</v>
      </c>
      <c r="M227" s="148">
        <f t="shared" si="219"/>
        <v>77737.87999999999</v>
      </c>
      <c r="N227" s="8"/>
      <c r="O227" s="149">
        <f t="shared" si="220"/>
        <v>0.52803885341665524</v>
      </c>
      <c r="P227" s="8"/>
      <c r="Q227" s="8"/>
      <c r="R227" s="136">
        <f t="shared" si="221"/>
        <v>69482.12000000001</v>
      </c>
      <c r="S227" s="150">
        <f t="shared" ref="S227:T227" si="226">S41</f>
        <v>134870</v>
      </c>
      <c r="T227" s="151">
        <f t="shared" si="226"/>
        <v>17000</v>
      </c>
      <c r="U227" s="152">
        <f t="shared" si="223"/>
        <v>151870</v>
      </c>
      <c r="V227" s="8"/>
      <c r="W227" s="305"/>
      <c r="X227" s="8"/>
      <c r="Y227" s="140"/>
      <c r="Z227" s="36"/>
      <c r="AA227" s="8"/>
      <c r="AB227" s="8"/>
      <c r="AC227" s="8"/>
      <c r="AD227" s="2"/>
      <c r="AE227" s="2"/>
    </row>
    <row r="228" spans="1:31" ht="18" customHeight="1">
      <c r="A228" s="8"/>
      <c r="B228" s="8"/>
      <c r="C228" s="141">
        <v>3</v>
      </c>
      <c r="D228" s="127"/>
      <c r="E228" s="142" t="s">
        <v>235</v>
      </c>
      <c r="F228" s="8"/>
      <c r="G228" s="143">
        <v>0</v>
      </c>
      <c r="H228" s="144">
        <v>0</v>
      </c>
      <c r="I228" s="145">
        <f t="shared" si="217"/>
        <v>0</v>
      </c>
      <c r="J228" s="8"/>
      <c r="K228" s="146">
        <v>0</v>
      </c>
      <c r="L228" s="147">
        <v>0</v>
      </c>
      <c r="M228" s="148">
        <f t="shared" si="219"/>
        <v>0</v>
      </c>
      <c r="N228" s="8"/>
      <c r="O228" s="149">
        <v>0</v>
      </c>
      <c r="P228" s="8"/>
      <c r="Q228" s="8"/>
      <c r="R228" s="136"/>
      <c r="S228" s="150">
        <v>0</v>
      </c>
      <c r="T228" s="151">
        <v>0</v>
      </c>
      <c r="U228" s="152">
        <f t="shared" si="223"/>
        <v>0</v>
      </c>
      <c r="V228" s="8"/>
      <c r="W228" s="305"/>
      <c r="X228" s="8"/>
      <c r="Y228" s="140"/>
      <c r="Z228" s="36"/>
      <c r="AA228" s="8"/>
      <c r="AB228" s="8"/>
      <c r="AC228" s="8"/>
      <c r="AD228" s="2"/>
      <c r="AE228" s="2"/>
    </row>
    <row r="229" spans="1:31" ht="18" customHeight="1">
      <c r="A229" s="8"/>
      <c r="B229" s="8"/>
      <c r="C229" s="141">
        <v>4</v>
      </c>
      <c r="D229" s="127"/>
      <c r="E229" s="142" t="s">
        <v>236</v>
      </c>
      <c r="F229" s="8"/>
      <c r="G229" s="143">
        <f t="shared" ref="G229:H229" si="227">G131</f>
        <v>12180</v>
      </c>
      <c r="H229" s="144">
        <f t="shared" si="227"/>
        <v>0</v>
      </c>
      <c r="I229" s="145">
        <f t="shared" si="217"/>
        <v>12180</v>
      </c>
      <c r="J229" s="8"/>
      <c r="K229" s="146">
        <f t="shared" ref="K229:L229" si="228">K131</f>
        <v>8914.0499999999993</v>
      </c>
      <c r="L229" s="147">
        <f t="shared" si="228"/>
        <v>0</v>
      </c>
      <c r="M229" s="148">
        <f t="shared" si="219"/>
        <v>8914.0499999999993</v>
      </c>
      <c r="N229" s="8"/>
      <c r="O229" s="149">
        <f t="shared" ref="O229:O230" si="229">M229/I229</f>
        <v>0.73185960591133004</v>
      </c>
      <c r="P229" s="8"/>
      <c r="Q229" s="8"/>
      <c r="R229" s="136">
        <f t="shared" ref="R229:R230" si="230">I229-K229-L229</f>
        <v>3265.9500000000007</v>
      </c>
      <c r="S229" s="150">
        <f t="shared" ref="S229:T229" si="231">S131</f>
        <v>12180</v>
      </c>
      <c r="T229" s="151">
        <f t="shared" si="231"/>
        <v>0</v>
      </c>
      <c r="U229" s="152">
        <f t="shared" si="223"/>
        <v>12180</v>
      </c>
      <c r="V229" s="8"/>
      <c r="W229" s="305"/>
      <c r="X229" s="8"/>
      <c r="Y229" s="140"/>
      <c r="Z229" s="36"/>
      <c r="AA229" s="8"/>
      <c r="AB229" s="8"/>
      <c r="AC229" s="8"/>
      <c r="AD229" s="2"/>
      <c r="AE229" s="2"/>
    </row>
    <row r="230" spans="1:31" ht="18" customHeight="1">
      <c r="A230" s="8"/>
      <c r="B230" s="8"/>
      <c r="C230" s="141">
        <v>6</v>
      </c>
      <c r="D230" s="127"/>
      <c r="E230" s="142" t="s">
        <v>238</v>
      </c>
      <c r="F230" s="8"/>
      <c r="G230" s="143">
        <f>G136</f>
        <v>1500</v>
      </c>
      <c r="H230" s="144">
        <v>0</v>
      </c>
      <c r="I230" s="145">
        <f t="shared" si="217"/>
        <v>1500</v>
      </c>
      <c r="J230" s="8"/>
      <c r="K230" s="146">
        <f t="shared" ref="K230:L230" si="232">K136</f>
        <v>521.09999999999991</v>
      </c>
      <c r="L230" s="147">
        <f t="shared" si="232"/>
        <v>502.37</v>
      </c>
      <c r="M230" s="148">
        <f t="shared" si="219"/>
        <v>1023.4699999999999</v>
      </c>
      <c r="N230" s="8"/>
      <c r="O230" s="149">
        <f t="shared" si="229"/>
        <v>0.68231333333333333</v>
      </c>
      <c r="P230" s="8"/>
      <c r="Q230" s="8"/>
      <c r="R230" s="136">
        <f t="shared" si="230"/>
        <v>476.53000000000009</v>
      </c>
      <c r="S230" s="150">
        <f>S136</f>
        <v>2000</v>
      </c>
      <c r="T230" s="151">
        <v>0</v>
      </c>
      <c r="U230" s="152">
        <f t="shared" si="223"/>
        <v>2000</v>
      </c>
      <c r="V230" s="8"/>
      <c r="W230" s="305"/>
      <c r="X230" s="8"/>
      <c r="Y230" s="140"/>
      <c r="Z230" s="36"/>
      <c r="AA230" s="8"/>
      <c r="AB230" s="8"/>
      <c r="AC230" s="8"/>
      <c r="AD230" s="2"/>
      <c r="AE230" s="2"/>
    </row>
    <row r="231" spans="1:31" ht="18" customHeight="1">
      <c r="A231" s="8"/>
      <c r="B231" s="8"/>
      <c r="C231" s="141">
        <v>8</v>
      </c>
      <c r="D231" s="127"/>
      <c r="E231" s="142" t="s">
        <v>239</v>
      </c>
      <c r="F231" s="8"/>
      <c r="G231" s="143">
        <f t="shared" ref="G231:H231" si="233">G148</f>
        <v>0</v>
      </c>
      <c r="H231" s="144">
        <f t="shared" si="233"/>
        <v>0</v>
      </c>
      <c r="I231" s="145">
        <f t="shared" si="217"/>
        <v>0</v>
      </c>
      <c r="J231" s="8"/>
      <c r="K231" s="146">
        <v>0</v>
      </c>
      <c r="L231" s="147">
        <v>0</v>
      </c>
      <c r="M231" s="148">
        <f t="shared" si="219"/>
        <v>0</v>
      </c>
      <c r="N231" s="8"/>
      <c r="O231" s="149">
        <v>0</v>
      </c>
      <c r="P231" s="8"/>
      <c r="Q231" s="8"/>
      <c r="R231" s="136"/>
      <c r="S231" s="150">
        <v>0</v>
      </c>
      <c r="T231" s="151">
        <v>0</v>
      </c>
      <c r="U231" s="152">
        <f t="shared" si="223"/>
        <v>0</v>
      </c>
      <c r="V231" s="8"/>
      <c r="W231" s="305"/>
      <c r="X231" s="8"/>
      <c r="Y231" s="140"/>
      <c r="Z231" s="36"/>
      <c r="AA231" s="8"/>
      <c r="AB231" s="8"/>
      <c r="AC231" s="8"/>
      <c r="AD231" s="2"/>
      <c r="AE231" s="2"/>
    </row>
    <row r="232" spans="1:31" ht="14.25" customHeight="1" thickBot="1">
      <c r="A232" s="8"/>
      <c r="B232" s="8"/>
      <c r="C232" s="153">
        <v>9</v>
      </c>
      <c r="D232" s="127"/>
      <c r="E232" s="154" t="s">
        <v>240</v>
      </c>
      <c r="F232" s="8"/>
      <c r="G232" s="155">
        <f t="shared" ref="G232:H232" si="234">G161</f>
        <v>0</v>
      </c>
      <c r="H232" s="156">
        <f t="shared" si="234"/>
        <v>0</v>
      </c>
      <c r="I232" s="157">
        <f t="shared" si="217"/>
        <v>0</v>
      </c>
      <c r="J232" s="8"/>
      <c r="K232" s="158">
        <v>0</v>
      </c>
      <c r="L232" s="159">
        <v>0</v>
      </c>
      <c r="M232" s="160">
        <f t="shared" si="219"/>
        <v>0</v>
      </c>
      <c r="N232" s="8"/>
      <c r="O232" s="161">
        <v>0</v>
      </c>
      <c r="P232" s="8"/>
      <c r="Q232" s="8"/>
      <c r="R232" s="136"/>
      <c r="S232" s="162">
        <v>0</v>
      </c>
      <c r="T232" s="163">
        <v>0</v>
      </c>
      <c r="U232" s="164">
        <f t="shared" si="223"/>
        <v>0</v>
      </c>
      <c r="V232" s="8"/>
      <c r="W232" s="305"/>
      <c r="X232" s="8"/>
      <c r="Y232" s="140"/>
      <c r="Z232" s="36"/>
      <c r="AA232" s="8"/>
      <c r="AB232" s="8"/>
      <c r="AC232" s="8"/>
      <c r="AD232" s="2"/>
      <c r="AE232" s="2"/>
    </row>
    <row r="233" spans="1:31" ht="8.25" customHeight="1" thickBot="1">
      <c r="A233" s="7"/>
      <c r="B233" s="7"/>
      <c r="C233" s="165"/>
      <c r="D233" s="7"/>
      <c r="E233" s="166"/>
      <c r="F233" s="7"/>
      <c r="G233" s="167"/>
      <c r="H233" s="167"/>
      <c r="I233" s="167"/>
      <c r="J233" s="7"/>
      <c r="K233" s="167"/>
      <c r="L233" s="167"/>
      <c r="M233" s="167"/>
      <c r="N233" s="7"/>
      <c r="O233" s="168"/>
      <c r="P233" s="7"/>
      <c r="Q233" s="7"/>
      <c r="R233" s="169"/>
      <c r="S233" s="167"/>
      <c r="T233" s="167"/>
      <c r="U233" s="167"/>
      <c r="V233" s="7"/>
      <c r="W233" s="290"/>
      <c r="X233" s="7"/>
      <c r="Y233" s="48"/>
      <c r="Z233" s="170"/>
      <c r="AA233" s="7"/>
      <c r="AB233" s="7"/>
      <c r="AC233" s="7"/>
      <c r="AD233" s="1"/>
      <c r="AE233" s="1"/>
    </row>
    <row r="234" spans="1:31" ht="15.75" customHeight="1" thickBot="1">
      <c r="A234" s="7"/>
      <c r="B234" s="7"/>
      <c r="C234" s="165"/>
      <c r="D234" s="7"/>
      <c r="E234" s="166"/>
      <c r="F234" s="7"/>
      <c r="G234" s="171">
        <f t="shared" ref="G234:H234" si="235">SUM(G226:G232)</f>
        <v>201750</v>
      </c>
      <c r="H234" s="172">
        <f t="shared" si="235"/>
        <v>35350</v>
      </c>
      <c r="I234" s="173">
        <f>SUM(G234:H234)</f>
        <v>237100</v>
      </c>
      <c r="J234" s="7"/>
      <c r="K234" s="174">
        <f t="shared" ref="K234:M234" si="236">SUM(K226:K232)</f>
        <v>133429.51999999999</v>
      </c>
      <c r="L234" s="175">
        <f t="shared" si="236"/>
        <v>6965.79</v>
      </c>
      <c r="M234" s="176">
        <f t="shared" si="236"/>
        <v>140395.31</v>
      </c>
      <c r="N234" s="7"/>
      <c r="O234" s="177">
        <f>M234/I234</f>
        <v>0.59213542808941377</v>
      </c>
      <c r="P234" s="7"/>
      <c r="Q234" s="7"/>
      <c r="R234" s="169">
        <f t="shared" ref="R234:T234" si="237">SUM(R226:R232)</f>
        <v>96704.69</v>
      </c>
      <c r="S234" s="178">
        <f t="shared" si="237"/>
        <v>234350</v>
      </c>
      <c r="T234" s="179">
        <f t="shared" si="237"/>
        <v>21000</v>
      </c>
      <c r="U234" s="180">
        <f>SUM(S234:T234)</f>
        <v>255350</v>
      </c>
      <c r="V234" s="7"/>
      <c r="W234" s="290"/>
      <c r="X234" s="7"/>
      <c r="Y234" s="48"/>
      <c r="Z234" s="170"/>
      <c r="AA234" s="7"/>
      <c r="AB234" s="7"/>
      <c r="AC234" s="7"/>
      <c r="AD234" s="1"/>
      <c r="AE234" s="1"/>
    </row>
    <row r="235" spans="1:31" ht="10.5" customHeight="1">
      <c r="A235" s="7"/>
      <c r="B235" s="7"/>
      <c r="C235" s="8"/>
      <c r="D235" s="7"/>
      <c r="E235" s="7"/>
      <c r="F235" s="7"/>
      <c r="G235" s="106"/>
      <c r="H235" s="106"/>
      <c r="I235" s="1"/>
      <c r="J235" s="7"/>
      <c r="K235" s="1"/>
      <c r="L235" s="1"/>
      <c r="M235" s="1"/>
      <c r="N235" s="7"/>
      <c r="O235" s="3"/>
      <c r="P235" s="7"/>
      <c r="Q235" s="7"/>
      <c r="R235" s="1"/>
      <c r="S235" s="106"/>
      <c r="T235" s="106"/>
      <c r="U235" s="1"/>
      <c r="V235" s="7"/>
      <c r="W235" s="290"/>
      <c r="X235" s="7"/>
      <c r="Y235" s="48"/>
      <c r="Z235" s="7"/>
      <c r="AA235" s="7"/>
      <c r="AB235" s="7"/>
      <c r="AC235" s="7"/>
      <c r="AD235" s="1"/>
      <c r="AE235" s="1"/>
    </row>
    <row r="236" spans="1:31" ht="40.5" customHeight="1">
      <c r="A236" s="7"/>
      <c r="B236" s="7"/>
      <c r="C236" s="8"/>
      <c r="D236" s="7"/>
      <c r="E236" s="7"/>
      <c r="F236" s="7"/>
      <c r="G236" s="106"/>
      <c r="H236" s="106"/>
      <c r="I236" s="1"/>
      <c r="J236" s="7"/>
      <c r="K236" s="1"/>
      <c r="L236" s="1"/>
      <c r="M236" s="1"/>
      <c r="N236" s="7"/>
      <c r="O236" s="3"/>
      <c r="P236" s="7"/>
      <c r="Q236" s="7"/>
      <c r="R236" s="1"/>
      <c r="S236" s="106"/>
      <c r="T236" s="106"/>
      <c r="U236" s="4" t="s">
        <v>241</v>
      </c>
      <c r="V236" s="7"/>
      <c r="W236" s="290"/>
      <c r="X236" s="7"/>
      <c r="Y236" s="48"/>
      <c r="Z236" s="7"/>
      <c r="AA236" s="7"/>
      <c r="AB236" s="7"/>
      <c r="AC236" s="7"/>
      <c r="AD236" s="1"/>
      <c r="AE236" s="1"/>
    </row>
    <row r="237" spans="1:31" ht="10.5" customHeight="1" thickBot="1">
      <c r="A237" s="7"/>
      <c r="B237" s="7"/>
      <c r="C237" s="8"/>
      <c r="D237" s="7"/>
      <c r="E237" s="7"/>
      <c r="F237" s="7"/>
      <c r="G237" s="106"/>
      <c r="H237" s="106"/>
      <c r="I237" s="1"/>
      <c r="J237" s="7"/>
      <c r="K237" s="1"/>
      <c r="L237" s="1"/>
      <c r="M237" s="1"/>
      <c r="N237" s="7"/>
      <c r="O237" s="3"/>
      <c r="P237" s="7"/>
      <c r="Q237" s="7"/>
      <c r="R237" s="1"/>
      <c r="S237" s="106"/>
      <c r="T237" s="106"/>
      <c r="V237" s="7"/>
      <c r="W237" s="290"/>
      <c r="X237" s="7"/>
      <c r="Y237" s="48"/>
      <c r="Z237" s="7"/>
      <c r="AA237" s="7"/>
      <c r="AB237" s="7"/>
      <c r="AC237" s="7"/>
      <c r="AD237" s="1"/>
      <c r="AE237" s="1"/>
    </row>
    <row r="238" spans="1:31" ht="12.75">
      <c r="A238" s="122"/>
      <c r="B238" s="122"/>
      <c r="C238" s="428" t="s">
        <v>229</v>
      </c>
      <c r="D238" s="122"/>
      <c r="E238" s="411" t="s">
        <v>230</v>
      </c>
      <c r="F238" s="122"/>
      <c r="G238" s="429" t="s">
        <v>233</v>
      </c>
      <c r="H238" s="377"/>
      <c r="I238" s="378"/>
      <c r="J238" s="122"/>
      <c r="K238" s="400" t="s">
        <v>234</v>
      </c>
      <c r="L238" s="377"/>
      <c r="M238" s="378"/>
      <c r="N238" s="122"/>
      <c r="O238" s="12" t="s">
        <v>5</v>
      </c>
      <c r="P238" s="122"/>
      <c r="Q238" s="122"/>
      <c r="R238" s="422" t="s">
        <v>37</v>
      </c>
      <c r="S238" s="425" t="s">
        <v>4</v>
      </c>
      <c r="T238" s="377"/>
      <c r="U238" s="378"/>
      <c r="V238" s="122"/>
      <c r="W238" s="304"/>
      <c r="X238" s="122"/>
      <c r="Y238" s="123"/>
      <c r="Z238" s="124"/>
      <c r="AA238" s="122"/>
      <c r="AB238" s="122"/>
      <c r="AC238" s="122"/>
      <c r="AD238" s="125"/>
      <c r="AE238" s="125"/>
    </row>
    <row r="239" spans="1:31" ht="25.5" customHeight="1" thickBot="1">
      <c r="A239" s="122"/>
      <c r="B239" s="122"/>
      <c r="C239" s="410"/>
      <c r="D239" s="122"/>
      <c r="E239" s="410"/>
      <c r="F239" s="122"/>
      <c r="G239" s="379"/>
      <c r="H239" s="380"/>
      <c r="I239" s="381"/>
      <c r="J239" s="122"/>
      <c r="K239" s="379"/>
      <c r="L239" s="380"/>
      <c r="M239" s="381"/>
      <c r="N239" s="122"/>
      <c r="O239" s="17" t="s">
        <v>237</v>
      </c>
      <c r="P239" s="122"/>
      <c r="Q239" s="122"/>
      <c r="R239" s="410"/>
      <c r="S239" s="379"/>
      <c r="T239" s="380"/>
      <c r="U239" s="381"/>
      <c r="V239" s="122"/>
      <c r="W239" s="304"/>
      <c r="X239" s="122"/>
      <c r="Y239" s="123"/>
      <c r="Z239" s="124"/>
      <c r="AA239" s="122"/>
      <c r="AB239" s="122"/>
      <c r="AC239" s="122"/>
      <c r="AD239" s="125"/>
      <c r="AE239" s="125"/>
    </row>
    <row r="240" spans="1:31" ht="6" customHeight="1" thickBot="1">
      <c r="A240" s="7"/>
      <c r="B240" s="7"/>
      <c r="C240" s="8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9"/>
      <c r="P240" s="7"/>
      <c r="Q240" s="7"/>
      <c r="R240" s="7"/>
      <c r="S240" s="7"/>
      <c r="T240" s="7"/>
      <c r="U240" s="7"/>
      <c r="V240" s="7"/>
      <c r="W240" s="290"/>
      <c r="X240" s="7"/>
      <c r="Y240" s="48"/>
      <c r="Z240" s="7"/>
      <c r="AA240" s="7"/>
      <c r="AB240" s="7"/>
      <c r="AC240" s="7"/>
      <c r="AD240" s="1"/>
      <c r="AE240" s="1"/>
    </row>
    <row r="241" spans="1:31" ht="14.25" customHeight="1">
      <c r="A241" s="8"/>
      <c r="B241" s="8"/>
      <c r="C241" s="126">
        <v>1</v>
      </c>
      <c r="D241" s="127"/>
      <c r="E241" s="128" t="s">
        <v>242</v>
      </c>
      <c r="F241" s="8"/>
      <c r="G241" s="129">
        <f t="shared" ref="G241:H241" si="238">G175</f>
        <v>31000</v>
      </c>
      <c r="H241" s="130">
        <f t="shared" si="238"/>
        <v>0</v>
      </c>
      <c r="I241" s="131">
        <f t="shared" ref="I241:I246" si="239">SUM(G241:H241)</f>
        <v>31000</v>
      </c>
      <c r="J241" s="8"/>
      <c r="K241" s="132">
        <f>K175</f>
        <v>23656</v>
      </c>
      <c r="L241" s="133">
        <v>0</v>
      </c>
      <c r="M241" s="134">
        <f t="shared" ref="M241:M242" si="240">K241+L241</f>
        <v>23656</v>
      </c>
      <c r="N241" s="8"/>
      <c r="O241" s="135">
        <f t="shared" ref="O241:O242" si="241">M241/I241</f>
        <v>0.76309677419354838</v>
      </c>
      <c r="P241" s="8"/>
      <c r="Q241" s="8"/>
      <c r="R241" s="136">
        <f t="shared" ref="R241:R242" si="242">I241-K241-L241</f>
        <v>7344</v>
      </c>
      <c r="S241" s="137">
        <f t="shared" ref="S241:T241" si="243">S175</f>
        <v>30500</v>
      </c>
      <c r="T241" s="138">
        <f t="shared" si="243"/>
        <v>0</v>
      </c>
      <c r="U241" s="139">
        <f t="shared" ref="U241:U242" si="244">SUM(S241:T241)</f>
        <v>30500</v>
      </c>
      <c r="V241" s="8"/>
      <c r="W241" s="305"/>
      <c r="X241" s="8"/>
      <c r="Y241" s="140"/>
      <c r="Z241" s="36"/>
      <c r="AA241" s="8"/>
      <c r="AB241" s="8"/>
      <c r="AC241" s="8"/>
      <c r="AD241" s="2"/>
      <c r="AE241" s="2"/>
    </row>
    <row r="242" spans="1:31" ht="18" customHeight="1">
      <c r="A242" s="8"/>
      <c r="B242" s="8"/>
      <c r="C242" s="141">
        <v>3</v>
      </c>
      <c r="D242" s="127"/>
      <c r="E242" s="142" t="s">
        <v>243</v>
      </c>
      <c r="F242" s="8"/>
      <c r="G242" s="143">
        <f t="shared" ref="G242:H242" si="245">G181</f>
        <v>186000</v>
      </c>
      <c r="H242" s="144">
        <f t="shared" si="245"/>
        <v>0</v>
      </c>
      <c r="I242" s="145">
        <f t="shared" si="239"/>
        <v>186000</v>
      </c>
      <c r="J242" s="8"/>
      <c r="K242" s="146">
        <f>K181</f>
        <v>155193.25</v>
      </c>
      <c r="L242" s="147">
        <v>0</v>
      </c>
      <c r="M242" s="148">
        <f t="shared" si="240"/>
        <v>155193.25</v>
      </c>
      <c r="N242" s="8"/>
      <c r="O242" s="149">
        <f t="shared" si="241"/>
        <v>0.83437231182795701</v>
      </c>
      <c r="P242" s="8"/>
      <c r="Q242" s="8"/>
      <c r="R242" s="136">
        <f t="shared" si="242"/>
        <v>30806.75</v>
      </c>
      <c r="S242" s="150">
        <f t="shared" ref="S242:T242" si="246">S181</f>
        <v>204550</v>
      </c>
      <c r="T242" s="151">
        <f t="shared" si="246"/>
        <v>0</v>
      </c>
      <c r="U242" s="152">
        <f t="shared" si="244"/>
        <v>204550</v>
      </c>
      <c r="V242" s="8"/>
      <c r="W242" s="305"/>
      <c r="X242" s="8"/>
      <c r="Y242" s="140"/>
      <c r="Z242" s="36"/>
      <c r="AA242" s="8"/>
      <c r="AB242" s="8"/>
      <c r="AC242" s="8"/>
      <c r="AD242" s="2"/>
      <c r="AE242" s="2"/>
    </row>
    <row r="243" spans="1:31" ht="18" customHeight="1">
      <c r="A243" s="8"/>
      <c r="B243" s="8"/>
      <c r="C243" s="141">
        <v>4</v>
      </c>
      <c r="D243" s="127"/>
      <c r="E243" s="142" t="s">
        <v>236</v>
      </c>
      <c r="F243" s="8"/>
      <c r="G243" s="143">
        <v>0</v>
      </c>
      <c r="H243" s="144">
        <v>0</v>
      </c>
      <c r="I243" s="145">
        <f t="shared" si="239"/>
        <v>0</v>
      </c>
      <c r="J243" s="8"/>
      <c r="K243" s="146">
        <v>0</v>
      </c>
      <c r="L243" s="147">
        <v>0</v>
      </c>
      <c r="M243" s="148">
        <v>0</v>
      </c>
      <c r="N243" s="8"/>
      <c r="O243" s="149">
        <v>0</v>
      </c>
      <c r="P243" s="8"/>
      <c r="Q243" s="8"/>
      <c r="R243" s="136"/>
      <c r="S243" s="150">
        <v>0</v>
      </c>
      <c r="T243" s="151">
        <v>0</v>
      </c>
      <c r="U243" s="152">
        <v>0</v>
      </c>
      <c r="V243" s="8"/>
      <c r="W243" s="305"/>
      <c r="X243" s="8"/>
      <c r="Y243" s="140"/>
      <c r="Z243" s="36"/>
      <c r="AA243" s="8"/>
      <c r="AB243" s="8"/>
      <c r="AC243" s="8"/>
      <c r="AD243" s="2"/>
      <c r="AE243" s="2"/>
    </row>
    <row r="244" spans="1:31" ht="18" customHeight="1">
      <c r="A244" s="8"/>
      <c r="B244" s="8"/>
      <c r="C244" s="141">
        <v>5</v>
      </c>
      <c r="D244" s="127"/>
      <c r="E244" s="142" t="s">
        <v>244</v>
      </c>
      <c r="F244" s="8"/>
      <c r="G244" s="143">
        <f t="shared" ref="G244:H244" si="247">G203</f>
        <v>100</v>
      </c>
      <c r="H244" s="144">
        <f t="shared" si="247"/>
        <v>0</v>
      </c>
      <c r="I244" s="145">
        <f t="shared" si="239"/>
        <v>100</v>
      </c>
      <c r="J244" s="8"/>
      <c r="K244" s="146">
        <f>K203</f>
        <v>145.15</v>
      </c>
      <c r="L244" s="147">
        <v>0</v>
      </c>
      <c r="M244" s="148">
        <f>K244+L244</f>
        <v>145.15</v>
      </c>
      <c r="N244" s="8"/>
      <c r="O244" s="149">
        <f>M244/I244</f>
        <v>1.4515</v>
      </c>
      <c r="P244" s="8"/>
      <c r="Q244" s="8"/>
      <c r="R244" s="136">
        <f t="shared" ref="R244:R246" si="248">I244-K244-L244</f>
        <v>-45.150000000000006</v>
      </c>
      <c r="S244" s="150">
        <f t="shared" ref="S244:T244" si="249">S203</f>
        <v>300</v>
      </c>
      <c r="T244" s="151">
        <f t="shared" si="249"/>
        <v>0</v>
      </c>
      <c r="U244" s="152">
        <f t="shared" ref="U244:U245" si="250">SUM(S244:T244)</f>
        <v>300</v>
      </c>
      <c r="V244" s="8"/>
      <c r="W244" s="305"/>
      <c r="X244" s="8"/>
      <c r="Y244" s="140"/>
      <c r="Z244" s="36"/>
      <c r="AA244" s="8"/>
      <c r="AB244" s="8"/>
      <c r="AC244" s="8"/>
      <c r="AD244" s="2"/>
      <c r="AE244" s="2"/>
    </row>
    <row r="245" spans="1:31" ht="18" customHeight="1">
      <c r="A245" s="8"/>
      <c r="B245" s="8"/>
      <c r="C245" s="141">
        <v>8</v>
      </c>
      <c r="D245" s="127"/>
      <c r="E245" s="142" t="s">
        <v>239</v>
      </c>
      <c r="F245" s="8"/>
      <c r="G245" s="143">
        <f t="shared" ref="G245:H245" si="251">G209</f>
        <v>0</v>
      </c>
      <c r="H245" s="144">
        <f t="shared" si="251"/>
        <v>20000</v>
      </c>
      <c r="I245" s="145">
        <f t="shared" si="239"/>
        <v>20000</v>
      </c>
      <c r="J245" s="8"/>
      <c r="K245" s="146">
        <f>K209</f>
        <v>0</v>
      </c>
      <c r="L245" s="147">
        <v>0</v>
      </c>
      <c r="M245" s="148">
        <v>0</v>
      </c>
      <c r="N245" s="8"/>
      <c r="O245" s="149">
        <v>0</v>
      </c>
      <c r="P245" s="8"/>
      <c r="Q245" s="8"/>
      <c r="R245" s="136">
        <f t="shared" si="248"/>
        <v>20000</v>
      </c>
      <c r="S245" s="150">
        <f>S209</f>
        <v>0</v>
      </c>
      <c r="T245" s="151">
        <f>+T213</f>
        <v>20000</v>
      </c>
      <c r="U245" s="152">
        <f t="shared" si="250"/>
        <v>20000</v>
      </c>
      <c r="V245" s="8"/>
      <c r="W245" s="305"/>
      <c r="X245" s="8"/>
      <c r="Y245" s="140"/>
      <c r="Z245" s="36"/>
      <c r="AA245" s="8"/>
      <c r="AB245" s="8"/>
      <c r="AC245" s="8"/>
      <c r="AD245" s="2"/>
      <c r="AE245" s="2"/>
    </row>
    <row r="246" spans="1:31" ht="18" customHeight="1">
      <c r="A246" s="8"/>
      <c r="B246" s="8"/>
      <c r="C246" s="141">
        <v>9</v>
      </c>
      <c r="D246" s="127"/>
      <c r="E246" s="142" t="s">
        <v>240</v>
      </c>
      <c r="F246" s="8"/>
      <c r="G246" s="143">
        <v>0</v>
      </c>
      <c r="H246" s="144">
        <v>0</v>
      </c>
      <c r="I246" s="145">
        <f t="shared" si="239"/>
        <v>0</v>
      </c>
      <c r="J246" s="8"/>
      <c r="K246" s="146">
        <f>K215</f>
        <v>0</v>
      </c>
      <c r="L246" s="147">
        <v>0</v>
      </c>
      <c r="M246" s="148">
        <v>0</v>
      </c>
      <c r="N246" s="8"/>
      <c r="O246" s="149">
        <v>0</v>
      </c>
      <c r="P246" s="8"/>
      <c r="Q246" s="8"/>
      <c r="R246" s="136">
        <f t="shared" si="248"/>
        <v>0</v>
      </c>
      <c r="S246" s="150">
        <v>0</v>
      </c>
      <c r="T246" s="151">
        <v>0</v>
      </c>
      <c r="U246" s="152">
        <v>0</v>
      </c>
      <c r="V246" s="8"/>
      <c r="W246" s="305"/>
      <c r="X246" s="8"/>
      <c r="Y246" s="140"/>
      <c r="Z246" s="36"/>
      <c r="AA246" s="8"/>
      <c r="AB246" s="8"/>
      <c r="AC246" s="8"/>
      <c r="AD246" s="2"/>
      <c r="AE246" s="2"/>
    </row>
    <row r="247" spans="1:31" ht="14.25" customHeight="1" thickBot="1">
      <c r="A247" s="8"/>
      <c r="B247" s="8"/>
      <c r="C247" s="153"/>
      <c r="D247" s="127"/>
      <c r="E247" s="154"/>
      <c r="F247" s="8"/>
      <c r="G247" s="155"/>
      <c r="H247" s="156"/>
      <c r="I247" s="157"/>
      <c r="J247" s="8"/>
      <c r="K247" s="158"/>
      <c r="L247" s="159"/>
      <c r="M247" s="160"/>
      <c r="N247" s="8"/>
      <c r="O247" s="161"/>
      <c r="P247" s="8"/>
      <c r="Q247" s="8"/>
      <c r="R247" s="136"/>
      <c r="S247" s="162"/>
      <c r="T247" s="163"/>
      <c r="U247" s="164"/>
      <c r="V247" s="8"/>
      <c r="W247" s="305"/>
      <c r="X247" s="8"/>
      <c r="Y247" s="140"/>
      <c r="Z247" s="36"/>
      <c r="AA247" s="8"/>
      <c r="AB247" s="8"/>
      <c r="AC247" s="8"/>
      <c r="AD247" s="2"/>
      <c r="AE247" s="2"/>
    </row>
    <row r="248" spans="1:31" ht="8.25" customHeight="1" thickBot="1">
      <c r="A248" s="7"/>
      <c r="B248" s="7"/>
      <c r="C248" s="165"/>
      <c r="D248" s="7"/>
      <c r="E248" s="166"/>
      <c r="F248" s="7"/>
      <c r="P248" s="7"/>
      <c r="Q248" s="7"/>
      <c r="V248" s="7"/>
      <c r="W248" s="290"/>
      <c r="X248" s="7"/>
      <c r="Y248" s="48"/>
      <c r="Z248" s="170"/>
      <c r="AA248" s="7"/>
      <c r="AB248" s="7"/>
      <c r="AC248" s="7"/>
      <c r="AD248" s="1"/>
      <c r="AE248" s="1"/>
    </row>
    <row r="249" spans="1:31" ht="15.75" customHeight="1" thickBot="1">
      <c r="A249" s="7"/>
      <c r="B249" s="7"/>
      <c r="C249" s="165"/>
      <c r="D249" s="7"/>
      <c r="E249" s="166"/>
      <c r="F249" s="7"/>
      <c r="G249" s="171">
        <f t="shared" ref="G249:H249" si="252">SUM(G241:G247)</f>
        <v>217100</v>
      </c>
      <c r="H249" s="172">
        <f t="shared" si="252"/>
        <v>20000</v>
      </c>
      <c r="I249" s="173">
        <f>SUM(G249:H249)</f>
        <v>237100</v>
      </c>
      <c r="J249" s="7"/>
      <c r="K249" s="174">
        <f t="shared" ref="K249:L249" si="253">SUM(K241:K246)</f>
        <v>178994.4</v>
      </c>
      <c r="L249" s="175">
        <f t="shared" si="253"/>
        <v>0</v>
      </c>
      <c r="M249" s="176">
        <f>L249+K247:K249</f>
        <v>178994.4</v>
      </c>
      <c r="N249" s="7"/>
      <c r="O249" s="177">
        <f>M249/I249</f>
        <v>0.754932096161957</v>
      </c>
      <c r="P249" s="7"/>
      <c r="Q249" s="7"/>
      <c r="R249" s="169">
        <f>SUM(R241:R246)</f>
        <v>58105.599999999999</v>
      </c>
      <c r="S249" s="178">
        <f t="shared" ref="S249:T249" si="254">SUM(S241:S247)</f>
        <v>235350</v>
      </c>
      <c r="T249" s="179">
        <f t="shared" si="254"/>
        <v>20000</v>
      </c>
      <c r="U249" s="180">
        <f>SUM(S249:T249)</f>
        <v>255350</v>
      </c>
      <c r="V249" s="7"/>
      <c r="W249" s="290"/>
      <c r="X249" s="7"/>
      <c r="Y249" s="48"/>
      <c r="Z249" s="170"/>
      <c r="AA249" s="7"/>
      <c r="AB249" s="7"/>
      <c r="AC249" s="7"/>
      <c r="AD249" s="1"/>
      <c r="AE249" s="1"/>
    </row>
    <row r="250" spans="1:31" ht="10.5" customHeight="1">
      <c r="A250" s="7"/>
      <c r="B250" s="7"/>
      <c r="C250" s="8"/>
      <c r="D250" s="7"/>
      <c r="E250" s="7"/>
      <c r="F250" s="7"/>
      <c r="G250" s="106"/>
      <c r="H250" s="106"/>
      <c r="I250" s="1"/>
      <c r="J250" s="7"/>
      <c r="K250" s="1"/>
      <c r="L250" s="1"/>
      <c r="M250" s="1"/>
      <c r="N250" s="7"/>
      <c r="O250" s="3"/>
      <c r="P250" s="7"/>
      <c r="Q250" s="7"/>
      <c r="R250" s="1"/>
      <c r="S250" s="106"/>
      <c r="T250" s="106"/>
      <c r="U250" s="1"/>
      <c r="V250" s="7"/>
      <c r="W250" s="290"/>
      <c r="X250" s="7"/>
      <c r="Y250" s="48"/>
      <c r="Z250" s="7"/>
      <c r="AA250" s="7"/>
      <c r="AB250" s="7"/>
      <c r="AC250" s="7"/>
      <c r="AD250" s="1"/>
      <c r="AE250" s="1"/>
    </row>
    <row r="251" spans="1:31" ht="15.75" customHeight="1">
      <c r="A251" s="7"/>
      <c r="B251" s="7"/>
      <c r="C251" s="165"/>
      <c r="D251" s="7"/>
      <c r="E251" s="166"/>
      <c r="F251" s="7"/>
      <c r="G251" s="167"/>
      <c r="H251" s="167"/>
      <c r="I251" s="167"/>
      <c r="J251" s="7"/>
      <c r="K251" s="167"/>
      <c r="L251" s="167"/>
      <c r="M251" s="167"/>
      <c r="N251" s="7"/>
      <c r="O251" s="168"/>
      <c r="P251" s="7"/>
      <c r="Q251" s="7"/>
      <c r="R251" s="167"/>
      <c r="S251" s="167"/>
      <c r="T251" s="167"/>
      <c r="U251" s="167"/>
      <c r="V251" s="7"/>
      <c r="W251" s="290"/>
      <c r="X251" s="7"/>
      <c r="Y251" s="48"/>
      <c r="Z251" s="170"/>
      <c r="AA251" s="7"/>
      <c r="AB251" s="7"/>
      <c r="AC251" s="7"/>
      <c r="AD251" s="1"/>
      <c r="AE251" s="1"/>
    </row>
    <row r="252" spans="1:31" ht="15.75" customHeight="1">
      <c r="A252" s="7"/>
      <c r="B252" s="7"/>
      <c r="C252" s="165"/>
      <c r="D252" s="7"/>
      <c r="E252" s="166"/>
      <c r="F252" s="7"/>
      <c r="G252" s="167"/>
      <c r="H252" s="167"/>
      <c r="I252" s="167"/>
      <c r="J252" s="7"/>
      <c r="K252" s="167"/>
      <c r="L252" s="167"/>
      <c r="M252" s="167"/>
      <c r="N252" s="7"/>
      <c r="O252" s="168"/>
      <c r="P252" s="7"/>
      <c r="Q252" s="7"/>
      <c r="R252" s="169"/>
      <c r="S252" s="167"/>
      <c r="T252" s="167"/>
      <c r="U252" s="4" t="s">
        <v>245</v>
      </c>
      <c r="V252" s="7"/>
      <c r="W252" s="290"/>
      <c r="X252" s="7"/>
      <c r="Y252" s="48"/>
      <c r="Z252" s="170"/>
      <c r="AA252" s="7"/>
      <c r="AB252" s="7"/>
      <c r="AC252" s="7"/>
      <c r="AD252" s="1"/>
      <c r="AE252" s="1"/>
    </row>
    <row r="253" spans="1:31" ht="8.25" customHeight="1" thickBot="1">
      <c r="A253" s="7"/>
      <c r="B253" s="7"/>
      <c r="C253" s="165"/>
      <c r="D253" s="7"/>
      <c r="E253" s="166"/>
      <c r="F253" s="7"/>
      <c r="G253" s="181"/>
      <c r="H253" s="181"/>
      <c r="I253" s="181"/>
      <c r="J253" s="7"/>
      <c r="K253" s="181"/>
      <c r="L253" s="181"/>
      <c r="M253" s="181"/>
      <c r="N253" s="7"/>
      <c r="O253" s="181"/>
      <c r="P253" s="7"/>
      <c r="Q253" s="7"/>
      <c r="R253" s="181"/>
      <c r="S253" s="181"/>
      <c r="T253" s="181"/>
      <c r="V253" s="7"/>
      <c r="W253" s="290"/>
      <c r="X253" s="7"/>
      <c r="Y253" s="48"/>
      <c r="Z253" s="167"/>
      <c r="AA253" s="9"/>
      <c r="AB253" s="7"/>
      <c r="AC253" s="7"/>
      <c r="AD253" s="1"/>
      <c r="AE253" s="1"/>
    </row>
    <row r="254" spans="1:31" ht="12.75">
      <c r="A254" s="182"/>
      <c r="B254" s="182"/>
      <c r="C254" s="124"/>
      <c r="D254" s="183"/>
      <c r="E254" s="436" t="s">
        <v>180</v>
      </c>
      <c r="F254" s="183"/>
      <c r="G254" s="437" t="s">
        <v>6</v>
      </c>
      <c r="H254" s="438" t="s">
        <v>7</v>
      </c>
      <c r="I254" s="439" t="s">
        <v>252</v>
      </c>
      <c r="J254" s="183"/>
      <c r="K254" s="400" t="s">
        <v>234</v>
      </c>
      <c r="L254" s="377"/>
      <c r="M254" s="378"/>
      <c r="N254" s="183"/>
      <c r="O254" s="12" t="s">
        <v>5</v>
      </c>
      <c r="P254" s="183"/>
      <c r="Q254" s="183"/>
      <c r="R254" s="440" t="s">
        <v>37</v>
      </c>
      <c r="S254" s="430" t="s">
        <v>6</v>
      </c>
      <c r="T254" s="432" t="s">
        <v>7</v>
      </c>
      <c r="U254" s="434" t="s">
        <v>4</v>
      </c>
      <c r="V254" s="183"/>
      <c r="W254" s="306"/>
      <c r="X254" s="184"/>
      <c r="Y254" s="185"/>
      <c r="Z254" s="186"/>
      <c r="AA254" s="187"/>
      <c r="AB254" s="184"/>
      <c r="AC254" s="187"/>
      <c r="AD254" s="188"/>
      <c r="AE254" s="188"/>
    </row>
    <row r="255" spans="1:31" ht="24.75" customHeight="1" thickBot="1">
      <c r="A255" s="182"/>
      <c r="B255" s="182"/>
      <c r="C255" s="124"/>
      <c r="D255" s="183"/>
      <c r="E255" s="410"/>
      <c r="F255" s="183"/>
      <c r="G255" s="431"/>
      <c r="H255" s="433"/>
      <c r="I255" s="435"/>
      <c r="J255" s="183"/>
      <c r="K255" s="379"/>
      <c r="L255" s="380"/>
      <c r="M255" s="381"/>
      <c r="N255" s="183"/>
      <c r="O255" s="17" t="s">
        <v>237</v>
      </c>
      <c r="P255" s="183"/>
      <c r="Q255" s="183"/>
      <c r="R255" s="383"/>
      <c r="S255" s="431"/>
      <c r="T255" s="433"/>
      <c r="U255" s="435"/>
      <c r="V255" s="183"/>
      <c r="W255" s="306"/>
      <c r="X255" s="184"/>
      <c r="Y255" s="185"/>
      <c r="Z255" s="182"/>
      <c r="AA255" s="187"/>
      <c r="AB255" s="184"/>
      <c r="AC255" s="184"/>
      <c r="AD255" s="188"/>
      <c r="AE255" s="188"/>
    </row>
    <row r="256" spans="1:31" ht="6" customHeight="1" thickBot="1">
      <c r="A256" s="7"/>
      <c r="B256" s="7"/>
      <c r="C256" s="8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9"/>
      <c r="P256" s="7"/>
      <c r="Q256" s="7"/>
      <c r="R256" s="7"/>
      <c r="S256" s="7"/>
      <c r="T256" s="7"/>
      <c r="U256" s="7"/>
      <c r="V256" s="7"/>
      <c r="W256" s="290"/>
      <c r="X256" s="7"/>
      <c r="Y256" s="48"/>
      <c r="Z256" s="7"/>
      <c r="AA256" s="7"/>
      <c r="AB256" s="7"/>
      <c r="AC256" s="7"/>
      <c r="AD256" s="1"/>
      <c r="AE256" s="1"/>
    </row>
    <row r="257" spans="1:31" ht="18" customHeight="1">
      <c r="A257" s="8"/>
      <c r="B257" s="8"/>
      <c r="C257" s="36"/>
      <c r="D257" s="127"/>
      <c r="E257" s="128" t="s">
        <v>246</v>
      </c>
      <c r="F257" s="8"/>
      <c r="G257" s="129">
        <f t="shared" ref="G257:I257" si="255">G234</f>
        <v>201750</v>
      </c>
      <c r="H257" s="130">
        <f t="shared" si="255"/>
        <v>35350</v>
      </c>
      <c r="I257" s="131">
        <f t="shared" si="255"/>
        <v>237100</v>
      </c>
      <c r="J257" s="8"/>
      <c r="K257" s="132">
        <f>K234</f>
        <v>133429.51999999999</v>
      </c>
      <c r="L257" s="133">
        <v>0</v>
      </c>
      <c r="M257" s="134">
        <f t="shared" ref="M257:M258" si="256">K257+L257</f>
        <v>133429.51999999999</v>
      </c>
      <c r="N257" s="8"/>
      <c r="O257" s="135">
        <f t="shared" ref="O257:O258" si="257">M257/I257</f>
        <v>0.56275630535638965</v>
      </c>
      <c r="P257" s="8"/>
      <c r="Q257" s="8"/>
      <c r="R257" s="136">
        <f t="shared" ref="R257:U257" si="258">R234</f>
        <v>96704.69</v>
      </c>
      <c r="S257" s="137">
        <f t="shared" si="258"/>
        <v>234350</v>
      </c>
      <c r="T257" s="138">
        <f t="shared" si="258"/>
        <v>21000</v>
      </c>
      <c r="U257" s="139">
        <f t="shared" si="258"/>
        <v>255350</v>
      </c>
      <c r="V257" s="8"/>
      <c r="W257" s="305"/>
      <c r="X257" s="8"/>
      <c r="Y257" s="140"/>
      <c r="Z257" s="36"/>
      <c r="AA257" s="8"/>
      <c r="AB257" s="8"/>
      <c r="AC257" s="8"/>
      <c r="AD257" s="2"/>
      <c r="AE257" s="2"/>
    </row>
    <row r="258" spans="1:31" ht="18" customHeight="1" thickBot="1">
      <c r="A258" s="8"/>
      <c r="B258" s="8"/>
      <c r="C258" s="36"/>
      <c r="D258" s="127"/>
      <c r="E258" s="154" t="s">
        <v>247</v>
      </c>
      <c r="F258" s="8"/>
      <c r="G258" s="155">
        <f t="shared" ref="G258:I258" si="259">G249</f>
        <v>217100</v>
      </c>
      <c r="H258" s="156">
        <f t="shared" si="259"/>
        <v>20000</v>
      </c>
      <c r="I258" s="157">
        <f t="shared" si="259"/>
        <v>237100</v>
      </c>
      <c r="J258" s="8"/>
      <c r="K258" s="158">
        <f>K249</f>
        <v>178994.4</v>
      </c>
      <c r="L258" s="159">
        <v>0</v>
      </c>
      <c r="M258" s="160">
        <f t="shared" si="256"/>
        <v>178994.4</v>
      </c>
      <c r="N258" s="8"/>
      <c r="O258" s="161">
        <f t="shared" si="257"/>
        <v>0.754932096161957</v>
      </c>
      <c r="P258" s="8"/>
      <c r="Q258" s="8"/>
      <c r="R258" s="136">
        <f t="shared" ref="R258:U258" si="260">R249</f>
        <v>58105.599999999999</v>
      </c>
      <c r="S258" s="162">
        <f t="shared" si="260"/>
        <v>235350</v>
      </c>
      <c r="T258" s="163">
        <f t="shared" si="260"/>
        <v>20000</v>
      </c>
      <c r="U258" s="164">
        <f t="shared" si="260"/>
        <v>255350</v>
      </c>
      <c r="V258" s="8"/>
      <c r="W258" s="305"/>
      <c r="X258" s="8"/>
      <c r="Y258" s="140"/>
      <c r="Z258" s="36"/>
      <c r="AA258" s="8"/>
      <c r="AB258" s="8"/>
      <c r="AC258" s="8"/>
      <c r="AD258" s="2"/>
      <c r="AE258" s="2"/>
    </row>
    <row r="259" spans="1:31" ht="8.25" customHeight="1" thickBot="1">
      <c r="A259" s="7"/>
      <c r="B259" s="7"/>
      <c r="C259" s="165"/>
      <c r="D259" s="7"/>
      <c r="E259" s="166"/>
      <c r="F259" s="7"/>
      <c r="P259" s="7"/>
      <c r="Q259" s="7"/>
      <c r="V259" s="7"/>
      <c r="W259" s="290"/>
      <c r="X259" s="7"/>
      <c r="Y259" s="48"/>
      <c r="Z259" s="170"/>
      <c r="AA259" s="7"/>
      <c r="AB259" s="7"/>
      <c r="AC259" s="7"/>
      <c r="AD259" s="1"/>
      <c r="AE259" s="1"/>
    </row>
    <row r="260" spans="1:31" ht="19.5" customHeight="1" thickBot="1">
      <c r="A260" s="8"/>
      <c r="B260" s="8"/>
      <c r="C260" s="36"/>
      <c r="D260" s="127"/>
      <c r="E260" s="189" t="s">
        <v>180</v>
      </c>
      <c r="F260" s="8"/>
      <c r="G260" s="190">
        <f t="shared" ref="G260:I260" si="261">G258-G257</f>
        <v>15350</v>
      </c>
      <c r="H260" s="191">
        <f t="shared" si="261"/>
        <v>-15350</v>
      </c>
      <c r="I260" s="192">
        <f t="shared" si="261"/>
        <v>0</v>
      </c>
      <c r="J260" s="35"/>
      <c r="K260" s="193">
        <f>K258-K257</f>
        <v>45564.880000000005</v>
      </c>
      <c r="L260" s="194">
        <v>0</v>
      </c>
      <c r="M260" s="195">
        <f>M258-M257</f>
        <v>45564.880000000005</v>
      </c>
      <c r="N260" s="35"/>
      <c r="O260" s="196">
        <f>O258-O257</f>
        <v>0.19217579080556735</v>
      </c>
      <c r="P260" s="8"/>
      <c r="Q260" s="8"/>
      <c r="R260" s="169">
        <f t="shared" ref="R260:U260" si="262">R258-R257</f>
        <v>-38599.090000000004</v>
      </c>
      <c r="S260" s="178">
        <f t="shared" si="262"/>
        <v>1000</v>
      </c>
      <c r="T260" s="179">
        <f t="shared" si="262"/>
        <v>-1000</v>
      </c>
      <c r="U260" s="180">
        <f t="shared" si="262"/>
        <v>0</v>
      </c>
      <c r="V260" s="8"/>
      <c r="W260" s="305"/>
      <c r="X260" s="8"/>
      <c r="Y260" s="140"/>
      <c r="Z260" s="36"/>
      <c r="AA260" s="8"/>
      <c r="AB260" s="8"/>
      <c r="AC260" s="8"/>
      <c r="AD260" s="2"/>
      <c r="AE260" s="2"/>
    </row>
    <row r="261" spans="1:31" ht="10.5" customHeight="1">
      <c r="A261" s="7"/>
      <c r="B261" s="7"/>
      <c r="C261" s="8"/>
      <c r="D261" s="7"/>
      <c r="E261" s="7"/>
      <c r="F261" s="7"/>
      <c r="G261" s="106"/>
      <c r="H261" s="106"/>
      <c r="I261" s="1"/>
      <c r="J261" s="7"/>
      <c r="K261" s="1"/>
      <c r="L261" s="1"/>
      <c r="M261" s="1"/>
      <c r="N261" s="7"/>
      <c r="O261" s="3"/>
      <c r="P261" s="7"/>
      <c r="Q261" s="7"/>
      <c r="R261" s="1"/>
      <c r="S261" s="106"/>
      <c r="T261" s="106"/>
      <c r="U261" s="1"/>
      <c r="V261" s="7"/>
      <c r="W261" s="290"/>
      <c r="X261" s="7"/>
      <c r="Y261" s="48"/>
      <c r="Z261" s="7"/>
      <c r="AA261" s="7"/>
      <c r="AB261" s="7"/>
      <c r="AC261" s="7"/>
      <c r="AD261" s="1"/>
      <c r="AE261" s="1"/>
    </row>
    <row r="262" spans="1:31">
      <c r="A262" s="197"/>
      <c r="B262" s="197"/>
      <c r="C262" s="198"/>
      <c r="D262" s="87"/>
      <c r="E262" s="166"/>
      <c r="F262" s="87"/>
      <c r="G262" s="112"/>
      <c r="H262" s="112"/>
      <c r="I262" s="112"/>
      <c r="J262" s="87"/>
      <c r="K262" s="112"/>
      <c r="L262" s="112"/>
      <c r="M262" s="112"/>
      <c r="N262" s="87"/>
      <c r="O262" s="168"/>
      <c r="P262" s="87"/>
      <c r="Q262" s="87"/>
      <c r="R262" s="112"/>
      <c r="S262" s="112"/>
      <c r="T262" s="112"/>
      <c r="U262" s="112"/>
      <c r="V262" s="87"/>
      <c r="W262" s="302"/>
      <c r="X262" s="87"/>
      <c r="Y262" s="199"/>
      <c r="Z262" s="197"/>
      <c r="AA262" s="7"/>
      <c r="AB262" s="7"/>
      <c r="AC262" s="7"/>
      <c r="AD262" s="1"/>
      <c r="AE262" s="1"/>
    </row>
    <row r="263" spans="1:31" ht="12.75" customHeight="1">
      <c r="A263" s="7"/>
      <c r="B263" s="7"/>
      <c r="C263" s="413"/>
      <c r="D263" s="7"/>
      <c r="E263" s="413"/>
      <c r="F263" s="7"/>
      <c r="G263" s="90"/>
      <c r="H263" s="90"/>
      <c r="I263" s="407"/>
      <c r="J263" s="7"/>
      <c r="K263" s="90"/>
      <c r="L263" s="90"/>
      <c r="M263" s="90"/>
      <c r="N263" s="7"/>
      <c r="O263" s="200"/>
      <c r="P263" s="7"/>
      <c r="Q263" s="7"/>
      <c r="R263" s="407"/>
      <c r="S263" s="90"/>
      <c r="T263" s="90"/>
      <c r="U263" s="407"/>
      <c r="V263" s="7"/>
      <c r="W263" s="290"/>
      <c r="X263" s="7"/>
      <c r="Y263" s="48"/>
      <c r="Z263" s="413"/>
      <c r="AA263" s="7"/>
      <c r="AB263" s="7"/>
      <c r="AC263" s="7"/>
      <c r="AD263" s="1"/>
      <c r="AE263" s="1"/>
    </row>
    <row r="264" spans="1:31" ht="12.75" customHeight="1">
      <c r="A264" s="7"/>
      <c r="B264" s="7"/>
      <c r="C264" s="408"/>
      <c r="D264" s="7"/>
      <c r="E264" s="408"/>
      <c r="F264" s="7"/>
      <c r="G264" s="90"/>
      <c r="H264" s="90"/>
      <c r="I264" s="408"/>
      <c r="J264" s="7"/>
      <c r="K264" s="90"/>
      <c r="L264" s="90"/>
      <c r="M264" s="90"/>
      <c r="N264" s="7"/>
      <c r="O264" s="200"/>
      <c r="P264" s="7"/>
      <c r="Q264" s="7"/>
      <c r="R264" s="408"/>
      <c r="S264" s="90"/>
      <c r="T264" s="90"/>
      <c r="U264" s="408"/>
      <c r="V264" s="7"/>
      <c r="W264" s="290"/>
      <c r="X264" s="7"/>
      <c r="Y264" s="48"/>
      <c r="Z264" s="408"/>
      <c r="AA264" s="7"/>
      <c r="AB264" s="7"/>
      <c r="AC264" s="7"/>
      <c r="AD264" s="1"/>
      <c r="AE264" s="1"/>
    </row>
    <row r="265" spans="1:31" ht="12.75" customHeight="1">
      <c r="A265" s="7"/>
      <c r="B265" s="7"/>
      <c r="C265" s="8"/>
      <c r="D265" s="7"/>
      <c r="E265" s="7"/>
      <c r="F265" s="7"/>
      <c r="G265" s="44"/>
      <c r="H265" s="44"/>
      <c r="I265" s="44"/>
      <c r="J265" s="7"/>
      <c r="K265" s="44"/>
      <c r="L265" s="44"/>
      <c r="M265" s="44"/>
      <c r="N265" s="7"/>
      <c r="O265" s="73"/>
      <c r="P265" s="7"/>
      <c r="Q265" s="7"/>
      <c r="R265" s="44"/>
      <c r="S265" s="44"/>
      <c r="T265" s="44"/>
      <c r="U265" s="44"/>
      <c r="V265" s="7"/>
      <c r="W265" s="290"/>
      <c r="X265" s="7"/>
      <c r="Y265" s="48"/>
      <c r="Z265" s="7"/>
      <c r="AA265" s="7"/>
      <c r="AB265" s="7"/>
      <c r="AC265" s="7"/>
      <c r="AD265" s="1"/>
      <c r="AE265" s="1"/>
    </row>
    <row r="266" spans="1:31">
      <c r="A266" s="7"/>
      <c r="B266" s="7"/>
      <c r="C266" s="201"/>
      <c r="D266" s="7"/>
      <c r="E266" s="202"/>
      <c r="F266" s="7"/>
      <c r="G266" s="203"/>
      <c r="H266" s="203"/>
      <c r="I266" s="203"/>
      <c r="J266" s="7"/>
      <c r="K266" s="203"/>
      <c r="L266" s="203"/>
      <c r="M266" s="203"/>
      <c r="N266" s="7"/>
      <c r="O266" s="204"/>
      <c r="P266" s="7"/>
      <c r="Q266" s="7"/>
      <c r="R266" s="203"/>
      <c r="S266" s="203"/>
      <c r="T266" s="203"/>
      <c r="U266" s="203"/>
      <c r="V266" s="7"/>
      <c r="W266" s="290"/>
      <c r="X266" s="7"/>
      <c r="Y266" s="48"/>
      <c r="Z266" s="205"/>
      <c r="AA266" s="7"/>
      <c r="AB266" s="7"/>
      <c r="AC266" s="7"/>
      <c r="AD266" s="1"/>
      <c r="AE266" s="1"/>
    </row>
    <row r="267" spans="1:31" ht="6" customHeight="1">
      <c r="A267" s="7"/>
      <c r="B267" s="7"/>
      <c r="C267" s="8"/>
      <c r="D267" s="7"/>
      <c r="E267" s="7"/>
      <c r="F267" s="7"/>
      <c r="G267" s="44"/>
      <c r="H267" s="44"/>
      <c r="I267" s="44"/>
      <c r="J267" s="7"/>
      <c r="K267" s="44"/>
      <c r="L267" s="44"/>
      <c r="M267" s="44"/>
      <c r="N267" s="7"/>
      <c r="O267" s="73"/>
      <c r="P267" s="7"/>
      <c r="Q267" s="7"/>
      <c r="R267" s="44"/>
      <c r="S267" s="44"/>
      <c r="T267" s="44"/>
      <c r="U267" s="44"/>
      <c r="V267" s="7"/>
      <c r="W267" s="290"/>
      <c r="X267" s="7"/>
      <c r="Y267" s="48"/>
      <c r="Z267" s="7"/>
      <c r="AA267" s="7"/>
      <c r="AB267" s="7"/>
      <c r="AC267" s="7"/>
      <c r="AD267" s="1"/>
      <c r="AE267" s="1"/>
    </row>
    <row r="268" spans="1:31" ht="12.75" customHeight="1">
      <c r="A268" s="7"/>
      <c r="B268" s="7"/>
      <c r="C268" s="36"/>
      <c r="D268" s="7"/>
      <c r="E268" s="14"/>
      <c r="F268" s="7"/>
      <c r="G268" s="206"/>
      <c r="H268" s="206"/>
      <c r="I268" s="206"/>
      <c r="J268" s="7"/>
      <c r="K268" s="206"/>
      <c r="L268" s="206"/>
      <c r="M268" s="206"/>
      <c r="N268" s="7"/>
      <c r="O268" s="207"/>
      <c r="P268" s="7"/>
      <c r="Q268" s="7"/>
      <c r="R268" s="206"/>
      <c r="S268" s="206"/>
      <c r="T268" s="206"/>
      <c r="U268" s="206"/>
      <c r="V268" s="7"/>
      <c r="W268" s="290"/>
      <c r="X268" s="7"/>
      <c r="Y268" s="48"/>
      <c r="Z268" s="11"/>
      <c r="AA268" s="7"/>
      <c r="AB268" s="7"/>
      <c r="AC268" s="7"/>
      <c r="AD268" s="1"/>
      <c r="AE268" s="1"/>
    </row>
    <row r="269" spans="1:31" ht="12.75" customHeight="1">
      <c r="A269" s="7"/>
      <c r="B269" s="7"/>
      <c r="C269" s="22"/>
      <c r="D269" s="7"/>
      <c r="E269" s="97"/>
      <c r="F269" s="7"/>
      <c r="G269" s="44"/>
      <c r="H269" s="44"/>
      <c r="I269" s="44"/>
      <c r="J269" s="7"/>
      <c r="K269" s="44"/>
      <c r="L269" s="44"/>
      <c r="M269" s="44"/>
      <c r="N269" s="7"/>
      <c r="O269" s="73"/>
      <c r="P269" s="7"/>
      <c r="Q269" s="7"/>
      <c r="R269" s="44"/>
      <c r="S269" s="44"/>
      <c r="T269" s="44"/>
      <c r="U269" s="44"/>
      <c r="V269" s="7"/>
      <c r="W269" s="290"/>
      <c r="X269" s="7"/>
      <c r="Y269" s="48"/>
      <c r="Z269" s="49"/>
      <c r="AA269" s="7"/>
      <c r="AB269" s="7"/>
      <c r="AC269" s="7"/>
      <c r="AD269" s="1"/>
      <c r="AE269" s="1"/>
    </row>
    <row r="270" spans="1:31" ht="12.75" customHeight="1">
      <c r="A270" s="7"/>
      <c r="B270" s="7"/>
      <c r="C270" s="8"/>
      <c r="D270" s="7"/>
      <c r="E270" s="7"/>
      <c r="F270" s="7"/>
      <c r="G270" s="44"/>
      <c r="H270" s="44"/>
      <c r="I270" s="44"/>
      <c r="J270" s="7"/>
      <c r="K270" s="44"/>
      <c r="L270" s="44"/>
      <c r="M270" s="44"/>
      <c r="N270" s="7"/>
      <c r="O270" s="73"/>
      <c r="P270" s="7"/>
      <c r="Q270" s="7"/>
      <c r="R270" s="44"/>
      <c r="S270" s="44"/>
      <c r="T270" s="44"/>
      <c r="U270" s="44"/>
      <c r="V270" s="7"/>
      <c r="W270" s="290"/>
      <c r="X270" s="7"/>
      <c r="Y270" s="48"/>
      <c r="Z270" s="7"/>
      <c r="AA270" s="7"/>
      <c r="AB270" s="7"/>
      <c r="AC270" s="7"/>
      <c r="AD270" s="1"/>
      <c r="AE270" s="1"/>
    </row>
    <row r="271" spans="1:31">
      <c r="A271" s="7"/>
      <c r="B271" s="7"/>
      <c r="C271" s="198"/>
      <c r="D271" s="7"/>
      <c r="E271" s="166"/>
      <c r="F271" s="7"/>
      <c r="G271" s="96"/>
      <c r="H271" s="96"/>
      <c r="I271" s="96"/>
      <c r="J271" s="7"/>
      <c r="K271" s="96"/>
      <c r="L271" s="96"/>
      <c r="M271" s="96"/>
      <c r="N271" s="7"/>
      <c r="O271" s="208"/>
      <c r="P271" s="7"/>
      <c r="Q271" s="7"/>
      <c r="R271" s="96"/>
      <c r="S271" s="96"/>
      <c r="T271" s="96"/>
      <c r="U271" s="96"/>
      <c r="V271" s="7"/>
      <c r="W271" s="290"/>
      <c r="X271" s="7"/>
      <c r="Y271" s="48"/>
      <c r="Z271" s="197"/>
      <c r="AA271" s="7"/>
      <c r="AB271" s="7"/>
      <c r="AC271" s="7"/>
      <c r="AD271" s="1"/>
      <c r="AE271" s="1"/>
    </row>
    <row r="272" spans="1:31">
      <c r="A272" s="7"/>
      <c r="B272" s="7"/>
      <c r="C272" s="198"/>
      <c r="D272" s="7"/>
      <c r="E272" s="166"/>
      <c r="F272" s="7"/>
      <c r="G272" s="112"/>
      <c r="H272" s="112"/>
      <c r="I272" s="112"/>
      <c r="J272" s="7"/>
      <c r="K272" s="112"/>
      <c r="L272" s="112"/>
      <c r="M272" s="112"/>
      <c r="N272" s="7"/>
      <c r="O272" s="168"/>
      <c r="P272" s="7"/>
      <c r="Q272" s="7"/>
      <c r="R272" s="112"/>
      <c r="S272" s="112"/>
      <c r="T272" s="112"/>
      <c r="U272" s="112"/>
      <c r="V272" s="7"/>
      <c r="W272" s="290"/>
      <c r="X272" s="7"/>
      <c r="Y272" s="48"/>
      <c r="Z272" s="197"/>
      <c r="AA272" s="7"/>
      <c r="AB272" s="7"/>
      <c r="AC272" s="7"/>
      <c r="AD272" s="1"/>
      <c r="AE272" s="1"/>
    </row>
    <row r="273" spans="1:31" ht="12.75" customHeight="1">
      <c r="A273" s="7"/>
      <c r="B273" s="7"/>
      <c r="C273" s="8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9"/>
      <c r="P273" s="7"/>
      <c r="Q273" s="7"/>
      <c r="R273" s="7"/>
      <c r="S273" s="7"/>
      <c r="T273" s="7"/>
      <c r="U273" s="7"/>
      <c r="V273" s="7"/>
      <c r="W273" s="290"/>
      <c r="X273" s="7"/>
      <c r="Y273" s="48"/>
      <c r="Z273" s="7"/>
      <c r="AA273" s="7"/>
      <c r="AB273" s="7"/>
      <c r="AC273" s="7"/>
      <c r="AD273" s="1"/>
      <c r="AE273" s="1"/>
    </row>
    <row r="274" spans="1:31" ht="12.75" customHeight="1">
      <c r="A274" s="7"/>
      <c r="B274" s="7"/>
      <c r="C274" s="8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9"/>
      <c r="P274" s="7"/>
      <c r="Q274" s="7"/>
      <c r="R274" s="7"/>
      <c r="S274" s="7"/>
      <c r="T274" s="7"/>
      <c r="U274" s="7"/>
      <c r="V274" s="7"/>
      <c r="W274" s="290"/>
      <c r="X274" s="7"/>
      <c r="Y274" s="48"/>
      <c r="Z274" s="7"/>
      <c r="AA274" s="7"/>
      <c r="AB274" s="7"/>
      <c r="AC274" s="7"/>
      <c r="AD274" s="1"/>
      <c r="AE274" s="1"/>
    </row>
    <row r="275" spans="1:31" ht="12.75" customHeight="1">
      <c r="A275" s="7"/>
      <c r="B275" s="7"/>
      <c r="C275" s="8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9"/>
      <c r="P275" s="7"/>
      <c r="Q275" s="7"/>
      <c r="R275" s="7"/>
      <c r="S275" s="7"/>
      <c r="T275" s="7"/>
      <c r="U275" s="7"/>
      <c r="V275" s="7"/>
      <c r="W275" s="290"/>
      <c r="X275" s="7"/>
      <c r="Y275" s="48"/>
      <c r="Z275" s="7"/>
      <c r="AA275" s="7"/>
      <c r="AB275" s="7"/>
      <c r="AC275" s="7"/>
      <c r="AD275" s="1"/>
      <c r="AE275" s="1"/>
    </row>
    <row r="276" spans="1:31" ht="12.75" customHeight="1">
      <c r="A276" s="7"/>
      <c r="B276" s="7"/>
      <c r="C276" s="8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9"/>
      <c r="P276" s="7"/>
      <c r="Q276" s="7"/>
      <c r="R276" s="7"/>
      <c r="S276" s="7"/>
      <c r="T276" s="7"/>
      <c r="U276" s="7"/>
      <c r="V276" s="7"/>
      <c r="W276" s="290"/>
      <c r="X276" s="7"/>
      <c r="Y276" s="48"/>
      <c r="Z276" s="7"/>
      <c r="AA276" s="7"/>
      <c r="AB276" s="7"/>
      <c r="AC276" s="7"/>
      <c r="AD276" s="1"/>
      <c r="AE276" s="1"/>
    </row>
    <row r="277" spans="1:31" ht="12.75" customHeight="1">
      <c r="A277" s="7"/>
      <c r="B277" s="7"/>
      <c r="C277" s="8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9"/>
      <c r="P277" s="7"/>
      <c r="Q277" s="7"/>
      <c r="R277" s="7"/>
      <c r="S277" s="7"/>
      <c r="T277" s="7"/>
      <c r="U277" s="7"/>
      <c r="V277" s="7"/>
      <c r="W277" s="290"/>
      <c r="X277" s="7"/>
      <c r="Y277" s="48"/>
      <c r="Z277" s="7"/>
      <c r="AA277" s="7"/>
      <c r="AB277" s="7"/>
      <c r="AC277" s="7"/>
      <c r="AD277" s="1"/>
      <c r="AE277" s="1"/>
    </row>
    <row r="278" spans="1:31" ht="12.75" customHeight="1">
      <c r="A278" s="7"/>
      <c r="B278" s="7"/>
      <c r="C278" s="8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9"/>
      <c r="P278" s="7"/>
      <c r="Q278" s="7"/>
      <c r="R278" s="7"/>
      <c r="S278" s="7"/>
      <c r="T278" s="7"/>
      <c r="U278" s="7"/>
      <c r="V278" s="7"/>
      <c r="W278" s="290"/>
      <c r="X278" s="7"/>
      <c r="Y278" s="48"/>
      <c r="Z278" s="7"/>
      <c r="AA278" s="7"/>
      <c r="AB278" s="7"/>
      <c r="AC278" s="7"/>
      <c r="AD278" s="1"/>
      <c r="AE278" s="1"/>
    </row>
    <row r="279" spans="1:31" ht="12.75" customHeight="1">
      <c r="A279" s="7"/>
      <c r="B279" s="7"/>
      <c r="C279" s="8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9"/>
      <c r="P279" s="7"/>
      <c r="Q279" s="7"/>
      <c r="R279" s="7"/>
      <c r="S279" s="7"/>
      <c r="T279" s="7"/>
      <c r="U279" s="7"/>
      <c r="V279" s="7"/>
      <c r="W279" s="290"/>
      <c r="X279" s="7"/>
      <c r="Y279" s="48"/>
      <c r="Z279" s="7"/>
      <c r="AA279" s="7"/>
      <c r="AB279" s="7"/>
      <c r="AC279" s="7"/>
      <c r="AD279" s="1"/>
      <c r="AE279" s="1"/>
    </row>
    <row r="280" spans="1:31" ht="12.75" customHeight="1">
      <c r="A280" s="7"/>
      <c r="B280" s="7"/>
      <c r="C280" s="8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9"/>
      <c r="P280" s="7"/>
      <c r="Q280" s="7"/>
      <c r="R280" s="7"/>
      <c r="S280" s="7"/>
      <c r="T280" s="7"/>
      <c r="U280" s="7"/>
      <c r="V280" s="7"/>
      <c r="W280" s="290"/>
      <c r="X280" s="7"/>
      <c r="Y280" s="48"/>
      <c r="Z280" s="7"/>
      <c r="AA280" s="7"/>
      <c r="AB280" s="7"/>
      <c r="AC280" s="7"/>
      <c r="AD280" s="1"/>
      <c r="AE280" s="1"/>
    </row>
    <row r="281" spans="1:31" ht="12.75" customHeight="1">
      <c r="A281" s="7"/>
      <c r="B281" s="7"/>
      <c r="C281" s="8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9"/>
      <c r="P281" s="7"/>
      <c r="Q281" s="7"/>
      <c r="R281" s="7"/>
      <c r="S281" s="7"/>
      <c r="T281" s="7"/>
      <c r="U281" s="7"/>
      <c r="V281" s="7"/>
      <c r="W281" s="290"/>
      <c r="X281" s="7"/>
      <c r="Y281" s="48"/>
      <c r="Z281" s="7"/>
      <c r="AA281" s="7"/>
      <c r="AB281" s="7"/>
      <c r="AC281" s="7"/>
      <c r="AD281" s="1"/>
      <c r="AE281" s="1"/>
    </row>
    <row r="282" spans="1:31" ht="12.75" customHeight="1">
      <c r="A282" s="7"/>
      <c r="B282" s="7"/>
      <c r="C282" s="8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9"/>
      <c r="P282" s="7"/>
      <c r="Q282" s="7"/>
      <c r="R282" s="7"/>
      <c r="S282" s="7"/>
      <c r="T282" s="7"/>
      <c r="U282" s="7"/>
      <c r="V282" s="7"/>
      <c r="W282" s="290"/>
      <c r="X282" s="7"/>
      <c r="Y282" s="48"/>
      <c r="Z282" s="7"/>
      <c r="AA282" s="7"/>
      <c r="AB282" s="7"/>
      <c r="AC282" s="7"/>
      <c r="AD282" s="1"/>
      <c r="AE282" s="1"/>
    </row>
    <row r="283" spans="1:31" ht="12.75" customHeight="1">
      <c r="A283" s="7"/>
      <c r="B283" s="7"/>
      <c r="C283" s="8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9"/>
      <c r="P283" s="7"/>
      <c r="Q283" s="7"/>
      <c r="R283" s="7"/>
      <c r="S283" s="7"/>
      <c r="T283" s="7"/>
      <c r="U283" s="7"/>
      <c r="V283" s="7"/>
      <c r="W283" s="290"/>
      <c r="X283" s="7"/>
      <c r="Y283" s="48"/>
      <c r="Z283" s="7"/>
      <c r="AA283" s="7"/>
      <c r="AB283" s="7"/>
      <c r="AC283" s="7"/>
      <c r="AD283" s="1"/>
      <c r="AE283" s="1"/>
    </row>
    <row r="284" spans="1:31" ht="12.75" customHeight="1">
      <c r="A284" s="7"/>
      <c r="B284" s="7"/>
      <c r="C284" s="8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9"/>
      <c r="P284" s="7"/>
      <c r="Q284" s="7"/>
      <c r="R284" s="7"/>
      <c r="S284" s="7"/>
      <c r="T284" s="7"/>
      <c r="U284" s="7"/>
      <c r="V284" s="7"/>
      <c r="W284" s="290"/>
      <c r="X284" s="7"/>
      <c r="Y284" s="48"/>
      <c r="Z284" s="7"/>
      <c r="AA284" s="7"/>
      <c r="AB284" s="7"/>
      <c r="AC284" s="7"/>
      <c r="AD284" s="1"/>
      <c r="AE284" s="1"/>
    </row>
    <row r="285" spans="1:31" ht="12.75" customHeight="1">
      <c r="A285" s="7"/>
      <c r="B285" s="7"/>
      <c r="C285" s="8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9"/>
      <c r="P285" s="7"/>
      <c r="Q285" s="7"/>
      <c r="R285" s="7"/>
      <c r="S285" s="7"/>
      <c r="T285" s="7"/>
      <c r="U285" s="7"/>
      <c r="V285" s="7"/>
      <c r="W285" s="290"/>
      <c r="X285" s="7"/>
      <c r="Y285" s="48"/>
      <c r="Z285" s="7"/>
      <c r="AA285" s="7"/>
      <c r="AB285" s="7"/>
      <c r="AC285" s="7"/>
      <c r="AD285" s="1"/>
      <c r="AE285" s="1"/>
    </row>
    <row r="286" spans="1:31" ht="12.75" customHeight="1">
      <c r="A286" s="7"/>
      <c r="B286" s="7"/>
      <c r="C286" s="8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9"/>
      <c r="P286" s="7"/>
      <c r="Q286" s="7"/>
      <c r="R286" s="7"/>
      <c r="S286" s="7"/>
      <c r="T286" s="7"/>
      <c r="U286" s="7"/>
      <c r="V286" s="7"/>
      <c r="W286" s="290"/>
      <c r="X286" s="7"/>
      <c r="Y286" s="48"/>
      <c r="Z286" s="7"/>
      <c r="AA286" s="7"/>
      <c r="AB286" s="7"/>
      <c r="AC286" s="7"/>
      <c r="AD286" s="1"/>
      <c r="AE286" s="1"/>
    </row>
    <row r="287" spans="1:31" ht="12.75" customHeight="1">
      <c r="A287" s="7"/>
      <c r="B287" s="7"/>
      <c r="C287" s="8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9"/>
      <c r="P287" s="7"/>
      <c r="Q287" s="7"/>
      <c r="R287" s="7"/>
      <c r="S287" s="7"/>
      <c r="T287" s="7"/>
      <c r="U287" s="7"/>
      <c r="V287" s="7"/>
      <c r="W287" s="290"/>
      <c r="X287" s="7"/>
      <c r="Y287" s="48"/>
      <c r="Z287" s="7"/>
      <c r="AA287" s="7"/>
      <c r="AB287" s="7"/>
      <c r="AC287" s="7"/>
      <c r="AD287" s="1"/>
      <c r="AE287" s="1"/>
    </row>
    <row r="288" spans="1:31" ht="12.75" customHeight="1">
      <c r="A288" s="7"/>
      <c r="B288" s="7"/>
      <c r="C288" s="8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9"/>
      <c r="P288" s="7"/>
      <c r="Q288" s="7"/>
      <c r="R288" s="7"/>
      <c r="S288" s="7"/>
      <c r="T288" s="7"/>
      <c r="U288" s="7"/>
      <c r="V288" s="7"/>
      <c r="W288" s="290"/>
      <c r="X288" s="7"/>
      <c r="Y288" s="48"/>
      <c r="Z288" s="7"/>
      <c r="AA288" s="7"/>
      <c r="AB288" s="7"/>
      <c r="AC288" s="7"/>
      <c r="AD288" s="1"/>
      <c r="AE288" s="1"/>
    </row>
    <row r="289" spans="1:31" ht="12.75" customHeight="1">
      <c r="A289" s="7"/>
      <c r="B289" s="7"/>
      <c r="C289" s="8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9"/>
      <c r="P289" s="7"/>
      <c r="Q289" s="7"/>
      <c r="R289" s="7"/>
      <c r="S289" s="7"/>
      <c r="T289" s="7"/>
      <c r="U289" s="7"/>
      <c r="V289" s="7"/>
      <c r="W289" s="290"/>
      <c r="X289" s="7"/>
      <c r="Y289" s="48"/>
      <c r="Z289" s="7"/>
      <c r="AA289" s="7"/>
      <c r="AB289" s="7"/>
      <c r="AC289" s="7"/>
      <c r="AD289" s="1"/>
      <c r="AE289" s="1"/>
    </row>
    <row r="290" spans="1:31" ht="12.75" customHeight="1">
      <c r="A290" s="7"/>
      <c r="B290" s="7"/>
      <c r="C290" s="8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9"/>
      <c r="P290" s="7"/>
      <c r="Q290" s="7"/>
      <c r="R290" s="7"/>
      <c r="S290" s="7"/>
      <c r="T290" s="7"/>
      <c r="U290" s="7"/>
      <c r="V290" s="7"/>
      <c r="W290" s="290"/>
      <c r="X290" s="7"/>
      <c r="Y290" s="48"/>
      <c r="Z290" s="7"/>
      <c r="AA290" s="7"/>
      <c r="AB290" s="7"/>
      <c r="AC290" s="7"/>
      <c r="AD290" s="1"/>
      <c r="AE290" s="1"/>
    </row>
    <row r="291" spans="1:31" ht="12.75" customHeight="1">
      <c r="A291" s="7"/>
      <c r="B291" s="7"/>
      <c r="C291" s="8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9"/>
      <c r="P291" s="7"/>
      <c r="Q291" s="7"/>
      <c r="R291" s="7"/>
      <c r="S291" s="7"/>
      <c r="T291" s="7"/>
      <c r="U291" s="7"/>
      <c r="V291" s="7"/>
      <c r="W291" s="290"/>
      <c r="X291" s="7"/>
      <c r="Y291" s="48"/>
      <c r="Z291" s="7"/>
      <c r="AA291" s="7"/>
      <c r="AB291" s="7"/>
      <c r="AC291" s="7"/>
      <c r="AD291" s="1"/>
      <c r="AE291" s="1"/>
    </row>
    <row r="292" spans="1:31" ht="12.75" customHeight="1">
      <c r="A292" s="7"/>
      <c r="B292" s="7"/>
      <c r="C292" s="8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9"/>
      <c r="P292" s="7"/>
      <c r="Q292" s="7"/>
      <c r="R292" s="7"/>
      <c r="S292" s="7"/>
      <c r="T292" s="7"/>
      <c r="U292" s="7"/>
      <c r="V292" s="7"/>
      <c r="W292" s="290"/>
      <c r="X292" s="7"/>
      <c r="Y292" s="48"/>
      <c r="Z292" s="7"/>
      <c r="AA292" s="7"/>
      <c r="AB292" s="7"/>
      <c r="AC292" s="7"/>
      <c r="AD292" s="1"/>
      <c r="AE292" s="1"/>
    </row>
    <row r="293" spans="1:31" ht="12.75" customHeight="1">
      <c r="A293" s="7"/>
      <c r="B293" s="7"/>
      <c r="C293" s="8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9"/>
      <c r="P293" s="7"/>
      <c r="Q293" s="7"/>
      <c r="R293" s="7"/>
      <c r="S293" s="7"/>
      <c r="T293" s="7"/>
      <c r="U293" s="7"/>
      <c r="V293" s="7"/>
      <c r="W293" s="290"/>
      <c r="X293" s="7"/>
      <c r="Y293" s="48"/>
      <c r="Z293" s="7"/>
      <c r="AA293" s="7"/>
      <c r="AB293" s="7"/>
      <c r="AC293" s="7"/>
      <c r="AD293" s="1"/>
      <c r="AE293" s="1"/>
    </row>
    <row r="294" spans="1:31" ht="12.75" customHeight="1">
      <c r="A294" s="7"/>
      <c r="B294" s="7"/>
      <c r="C294" s="8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9"/>
      <c r="P294" s="7"/>
      <c r="Q294" s="7"/>
      <c r="R294" s="7"/>
      <c r="S294" s="7"/>
      <c r="T294" s="7"/>
      <c r="U294" s="7"/>
      <c r="V294" s="7"/>
      <c r="W294" s="290"/>
      <c r="X294" s="7"/>
      <c r="Y294" s="48"/>
      <c r="Z294" s="7"/>
      <c r="AA294" s="7"/>
      <c r="AB294" s="7"/>
      <c r="AC294" s="7"/>
      <c r="AD294" s="1"/>
      <c r="AE294" s="1"/>
    </row>
    <row r="295" spans="1:31" ht="12.75" customHeight="1">
      <c r="A295" s="7"/>
      <c r="B295" s="7"/>
      <c r="C295" s="8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9"/>
      <c r="P295" s="7"/>
      <c r="Q295" s="7"/>
      <c r="R295" s="7"/>
      <c r="S295" s="7"/>
      <c r="T295" s="7"/>
      <c r="U295" s="7"/>
      <c r="V295" s="7"/>
      <c r="W295" s="290"/>
      <c r="X295" s="7"/>
      <c r="Y295" s="48"/>
      <c r="Z295" s="7"/>
      <c r="AA295" s="7"/>
      <c r="AB295" s="7"/>
      <c r="AC295" s="7"/>
      <c r="AD295" s="1"/>
      <c r="AE295" s="1"/>
    </row>
    <row r="296" spans="1:31" ht="12.75" customHeight="1">
      <c r="A296" s="7"/>
      <c r="B296" s="7"/>
      <c r="C296" s="8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9"/>
      <c r="P296" s="7"/>
      <c r="Q296" s="7"/>
      <c r="R296" s="7"/>
      <c r="S296" s="7"/>
      <c r="T296" s="7"/>
      <c r="U296" s="7"/>
      <c r="V296" s="7"/>
      <c r="W296" s="290"/>
      <c r="X296" s="7"/>
      <c r="Y296" s="48"/>
      <c r="Z296" s="7"/>
      <c r="AA296" s="7"/>
      <c r="AB296" s="7"/>
      <c r="AC296" s="7"/>
      <c r="AD296" s="1"/>
      <c r="AE296" s="1"/>
    </row>
    <row r="297" spans="1:31" ht="12.75" customHeight="1">
      <c r="A297" s="7"/>
      <c r="B297" s="7"/>
      <c r="C297" s="8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9"/>
      <c r="P297" s="7"/>
      <c r="Q297" s="7"/>
      <c r="R297" s="7"/>
      <c r="S297" s="7"/>
      <c r="T297" s="7"/>
      <c r="U297" s="7"/>
      <c r="V297" s="7"/>
      <c r="W297" s="290"/>
      <c r="X297" s="7"/>
      <c r="Y297" s="48"/>
      <c r="Z297" s="7"/>
      <c r="AA297" s="7"/>
      <c r="AB297" s="7"/>
      <c r="AC297" s="7"/>
      <c r="AD297" s="1"/>
      <c r="AE297" s="1"/>
    </row>
    <row r="298" spans="1:31" ht="12.75" customHeight="1">
      <c r="A298" s="7"/>
      <c r="B298" s="7"/>
      <c r="C298" s="8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9"/>
      <c r="P298" s="7"/>
      <c r="Q298" s="7"/>
      <c r="R298" s="7"/>
      <c r="S298" s="7"/>
      <c r="T298" s="7"/>
      <c r="U298" s="7"/>
      <c r="V298" s="7"/>
      <c r="W298" s="290"/>
      <c r="X298" s="7"/>
      <c r="Y298" s="48"/>
      <c r="Z298" s="7"/>
      <c r="AA298" s="7"/>
      <c r="AB298" s="7"/>
      <c r="AC298" s="7"/>
      <c r="AD298" s="1"/>
      <c r="AE298" s="1"/>
    </row>
    <row r="299" spans="1:31" ht="12.75" customHeight="1">
      <c r="A299" s="7"/>
      <c r="B299" s="7"/>
      <c r="C299" s="8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9"/>
      <c r="P299" s="7"/>
      <c r="Q299" s="7"/>
      <c r="R299" s="7"/>
      <c r="S299" s="7"/>
      <c r="T299" s="7"/>
      <c r="U299" s="7"/>
      <c r="V299" s="7"/>
      <c r="W299" s="290"/>
      <c r="X299" s="7"/>
      <c r="Y299" s="48"/>
      <c r="Z299" s="7"/>
      <c r="AA299" s="7"/>
      <c r="AB299" s="7"/>
      <c r="AC299" s="7"/>
      <c r="AD299" s="1"/>
      <c r="AE299" s="1"/>
    </row>
    <row r="300" spans="1:31" ht="12.75" customHeight="1">
      <c r="A300" s="7"/>
      <c r="B300" s="7"/>
      <c r="C300" s="8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9"/>
      <c r="P300" s="7"/>
      <c r="Q300" s="7"/>
      <c r="R300" s="7"/>
      <c r="S300" s="7"/>
      <c r="T300" s="7"/>
      <c r="U300" s="7"/>
      <c r="V300" s="7"/>
      <c r="W300" s="290"/>
      <c r="X300" s="7"/>
      <c r="Y300" s="48"/>
      <c r="Z300" s="7"/>
      <c r="AA300" s="7"/>
      <c r="AB300" s="7"/>
      <c r="AC300" s="7"/>
      <c r="AD300" s="1"/>
      <c r="AE300" s="1"/>
    </row>
    <row r="301" spans="1:31" ht="12.75" customHeight="1">
      <c r="A301" s="7"/>
      <c r="B301" s="7"/>
      <c r="C301" s="8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9"/>
      <c r="P301" s="7"/>
      <c r="Q301" s="7"/>
      <c r="R301" s="7"/>
      <c r="S301" s="7"/>
      <c r="T301" s="7"/>
      <c r="U301" s="7"/>
      <c r="V301" s="7"/>
      <c r="W301" s="290"/>
      <c r="X301" s="7"/>
      <c r="Y301" s="48"/>
      <c r="Z301" s="7"/>
      <c r="AA301" s="7"/>
      <c r="AB301" s="7"/>
      <c r="AC301" s="7"/>
      <c r="AD301" s="1"/>
      <c r="AE301" s="1"/>
    </row>
    <row r="302" spans="1:31" ht="12.75" customHeight="1">
      <c r="A302" s="7"/>
      <c r="B302" s="7"/>
      <c r="C302" s="8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9"/>
      <c r="P302" s="7"/>
      <c r="Q302" s="7"/>
      <c r="R302" s="7"/>
      <c r="S302" s="7"/>
      <c r="T302" s="7"/>
      <c r="U302" s="7"/>
      <c r="V302" s="7"/>
      <c r="W302" s="290"/>
      <c r="X302" s="7"/>
      <c r="Y302" s="48"/>
      <c r="Z302" s="7"/>
      <c r="AA302" s="7"/>
      <c r="AB302" s="7"/>
      <c r="AC302" s="7"/>
      <c r="AD302" s="1"/>
      <c r="AE302" s="1"/>
    </row>
    <row r="303" spans="1:31" ht="12.75" customHeight="1">
      <c r="A303" s="7"/>
      <c r="B303" s="7"/>
      <c r="C303" s="8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9"/>
      <c r="P303" s="7"/>
      <c r="Q303" s="7"/>
      <c r="R303" s="7"/>
      <c r="S303" s="7"/>
      <c r="T303" s="7"/>
      <c r="U303" s="7"/>
      <c r="V303" s="7"/>
      <c r="W303" s="290"/>
      <c r="X303" s="7"/>
      <c r="Y303" s="48"/>
      <c r="Z303" s="7"/>
      <c r="AA303" s="7"/>
      <c r="AB303" s="7"/>
      <c r="AC303" s="7"/>
      <c r="AD303" s="1"/>
      <c r="AE303" s="1"/>
    </row>
    <row r="304" spans="1:31" ht="12.75" customHeight="1">
      <c r="A304" s="7"/>
      <c r="B304" s="7"/>
      <c r="C304" s="8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9"/>
      <c r="P304" s="7"/>
      <c r="Q304" s="7"/>
      <c r="R304" s="7"/>
      <c r="S304" s="7"/>
      <c r="T304" s="7"/>
      <c r="U304" s="7"/>
      <c r="V304" s="7"/>
      <c r="W304" s="290"/>
      <c r="X304" s="7"/>
      <c r="Y304" s="48"/>
      <c r="Z304" s="7"/>
      <c r="AA304" s="7"/>
      <c r="AB304" s="7"/>
      <c r="AC304" s="7"/>
      <c r="AD304" s="1"/>
      <c r="AE304" s="1"/>
    </row>
    <row r="305" spans="1:31" ht="12.75" customHeight="1">
      <c r="A305" s="7"/>
      <c r="B305" s="7"/>
      <c r="C305" s="8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9"/>
      <c r="P305" s="7"/>
      <c r="Q305" s="7"/>
      <c r="R305" s="7"/>
      <c r="S305" s="7"/>
      <c r="T305" s="7"/>
      <c r="U305" s="7"/>
      <c r="V305" s="7"/>
      <c r="W305" s="290"/>
      <c r="X305" s="7"/>
      <c r="Y305" s="48"/>
      <c r="Z305" s="7"/>
      <c r="AA305" s="7"/>
      <c r="AB305" s="7"/>
      <c r="AC305" s="7"/>
      <c r="AD305" s="1"/>
      <c r="AE305" s="1"/>
    </row>
    <row r="306" spans="1:31" ht="12.75" customHeight="1">
      <c r="A306" s="7"/>
      <c r="B306" s="7"/>
      <c r="C306" s="8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9"/>
      <c r="P306" s="7"/>
      <c r="Q306" s="7"/>
      <c r="R306" s="7"/>
      <c r="S306" s="7"/>
      <c r="T306" s="7"/>
      <c r="U306" s="7"/>
      <c r="V306" s="7"/>
      <c r="W306" s="290"/>
      <c r="X306" s="7"/>
      <c r="Y306" s="48"/>
      <c r="Z306" s="7"/>
      <c r="AA306" s="7"/>
      <c r="AB306" s="7"/>
      <c r="AC306" s="7"/>
      <c r="AD306" s="1"/>
      <c r="AE306" s="1"/>
    </row>
    <row r="307" spans="1:31" ht="12.75" customHeight="1">
      <c r="A307" s="7"/>
      <c r="B307" s="7"/>
      <c r="C307" s="8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9"/>
      <c r="P307" s="7"/>
      <c r="Q307" s="7"/>
      <c r="R307" s="7"/>
      <c r="S307" s="7"/>
      <c r="T307" s="7"/>
      <c r="U307" s="7"/>
      <c r="V307" s="7"/>
      <c r="W307" s="290"/>
      <c r="X307" s="7"/>
      <c r="Y307" s="48"/>
      <c r="Z307" s="7"/>
      <c r="AA307" s="7"/>
      <c r="AB307" s="7"/>
      <c r="AC307" s="7"/>
      <c r="AD307" s="1"/>
      <c r="AE307" s="1"/>
    </row>
    <row r="308" spans="1:31" ht="12.75" customHeight="1">
      <c r="A308" s="7"/>
      <c r="B308" s="7"/>
      <c r="C308" s="8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9"/>
      <c r="P308" s="7"/>
      <c r="Q308" s="7"/>
      <c r="R308" s="7"/>
      <c r="S308" s="7"/>
      <c r="T308" s="7"/>
      <c r="U308" s="7"/>
      <c r="V308" s="7"/>
      <c r="W308" s="290"/>
      <c r="X308" s="7"/>
      <c r="Y308" s="48"/>
      <c r="Z308" s="7"/>
      <c r="AA308" s="7"/>
      <c r="AB308" s="7"/>
      <c r="AC308" s="7"/>
      <c r="AD308" s="1"/>
      <c r="AE308" s="1"/>
    </row>
    <row r="309" spans="1:31" ht="12.75" customHeight="1">
      <c r="A309" s="7"/>
      <c r="B309" s="7"/>
      <c r="C309" s="8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9"/>
      <c r="P309" s="7"/>
      <c r="Q309" s="7"/>
      <c r="R309" s="7"/>
      <c r="S309" s="7"/>
      <c r="T309" s="7"/>
      <c r="U309" s="7"/>
      <c r="V309" s="7"/>
      <c r="W309" s="290"/>
      <c r="X309" s="7"/>
      <c r="Y309" s="48"/>
      <c r="Z309" s="7"/>
      <c r="AA309" s="7"/>
      <c r="AB309" s="7"/>
      <c r="AC309" s="7"/>
      <c r="AD309" s="1"/>
      <c r="AE309" s="1"/>
    </row>
    <row r="310" spans="1:31" ht="12.75" customHeight="1">
      <c r="A310" s="7"/>
      <c r="B310" s="7"/>
      <c r="C310" s="8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9"/>
      <c r="P310" s="7"/>
      <c r="Q310" s="7"/>
      <c r="R310" s="7"/>
      <c r="S310" s="7"/>
      <c r="T310" s="7"/>
      <c r="U310" s="7"/>
      <c r="V310" s="7"/>
      <c r="W310" s="290"/>
      <c r="X310" s="7"/>
      <c r="Y310" s="48"/>
      <c r="Z310" s="7"/>
      <c r="AA310" s="7"/>
      <c r="AB310" s="7"/>
      <c r="AC310" s="7"/>
      <c r="AD310" s="1"/>
      <c r="AE310" s="1"/>
    </row>
    <row r="311" spans="1:31" ht="12.75" customHeight="1">
      <c r="A311" s="7"/>
      <c r="B311" s="7"/>
      <c r="C311" s="8"/>
      <c r="D311" s="7"/>
      <c r="E311" s="14"/>
      <c r="F311" s="7"/>
      <c r="G311" s="7"/>
      <c r="H311" s="7"/>
      <c r="I311" s="7"/>
      <c r="J311" s="7"/>
      <c r="K311" s="7"/>
      <c r="L311" s="7"/>
      <c r="M311" s="7"/>
      <c r="N311" s="7"/>
      <c r="O311" s="9"/>
      <c r="P311" s="7"/>
      <c r="Q311" s="7"/>
      <c r="R311" s="7"/>
      <c r="S311" s="7"/>
      <c r="T311" s="7"/>
      <c r="U311" s="7"/>
      <c r="V311" s="7"/>
      <c r="W311" s="290"/>
      <c r="X311" s="7"/>
      <c r="Y311" s="48"/>
      <c r="Z311" s="7"/>
      <c r="AA311" s="7"/>
      <c r="AB311" s="7"/>
      <c r="AC311" s="7"/>
      <c r="AD311" s="1"/>
      <c r="AE311" s="1"/>
    </row>
    <row r="312" spans="1:31" ht="12.75" customHeight="1">
      <c r="A312" s="7"/>
      <c r="B312" s="7"/>
      <c r="C312" s="8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9"/>
      <c r="P312" s="7"/>
      <c r="Q312" s="7"/>
      <c r="R312" s="7"/>
      <c r="S312" s="7"/>
      <c r="T312" s="7"/>
      <c r="U312" s="7"/>
      <c r="V312" s="7"/>
      <c r="W312" s="290"/>
      <c r="X312" s="7"/>
      <c r="Y312" s="48"/>
      <c r="Z312" s="7"/>
      <c r="AA312" s="7"/>
      <c r="AB312" s="7"/>
      <c r="AC312" s="7"/>
      <c r="AD312" s="1"/>
      <c r="AE312" s="1"/>
    </row>
    <row r="313" spans="1:31" ht="12.75" customHeight="1">
      <c r="A313" s="7"/>
      <c r="B313" s="7"/>
      <c r="C313" s="8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9"/>
      <c r="P313" s="7"/>
      <c r="Q313" s="7"/>
      <c r="R313" s="7"/>
      <c r="S313" s="7"/>
      <c r="T313" s="7"/>
      <c r="U313" s="7"/>
      <c r="V313" s="7"/>
      <c r="W313" s="290"/>
      <c r="X313" s="7"/>
      <c r="Y313" s="48"/>
      <c r="Z313" s="7"/>
      <c r="AA313" s="7"/>
      <c r="AB313" s="7"/>
      <c r="AC313" s="7"/>
      <c r="AD313" s="1"/>
      <c r="AE313" s="1"/>
    </row>
    <row r="314" spans="1:31" ht="12.75" customHeight="1">
      <c r="A314" s="7"/>
      <c r="B314" s="7"/>
      <c r="C314" s="8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9"/>
      <c r="P314" s="7"/>
      <c r="Q314" s="7"/>
      <c r="R314" s="7"/>
      <c r="S314" s="7"/>
      <c r="T314" s="7"/>
      <c r="U314" s="7"/>
      <c r="V314" s="7"/>
      <c r="W314" s="290"/>
      <c r="X314" s="7"/>
      <c r="Y314" s="48"/>
      <c r="Z314" s="7"/>
      <c r="AA314" s="7"/>
      <c r="AB314" s="7"/>
      <c r="AC314" s="7"/>
      <c r="AD314" s="1"/>
      <c r="AE314" s="1"/>
    </row>
    <row r="315" spans="1:31" ht="12.75" customHeight="1">
      <c r="A315" s="7"/>
      <c r="B315" s="7"/>
      <c r="C315" s="8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9"/>
      <c r="P315" s="7"/>
      <c r="Q315" s="7"/>
      <c r="R315" s="7"/>
      <c r="S315" s="7"/>
      <c r="T315" s="7"/>
      <c r="U315" s="7"/>
      <c r="V315" s="7"/>
      <c r="W315" s="290"/>
      <c r="X315" s="7"/>
      <c r="Y315" s="48"/>
      <c r="Z315" s="7"/>
      <c r="AA315" s="7"/>
      <c r="AB315" s="7"/>
      <c r="AC315" s="7"/>
      <c r="AD315" s="1"/>
      <c r="AE315" s="1"/>
    </row>
    <row r="316" spans="1:31" ht="12.75" customHeight="1">
      <c r="A316" s="7"/>
      <c r="B316" s="7"/>
      <c r="C316" s="8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9"/>
      <c r="P316" s="7"/>
      <c r="Q316" s="7"/>
      <c r="R316" s="7"/>
      <c r="S316" s="7"/>
      <c r="T316" s="7"/>
      <c r="U316" s="7"/>
      <c r="V316" s="7"/>
      <c r="W316" s="290"/>
      <c r="X316" s="7"/>
      <c r="Y316" s="48"/>
      <c r="Z316" s="7"/>
      <c r="AA316" s="7"/>
      <c r="AB316" s="7"/>
      <c r="AC316" s="7"/>
      <c r="AD316" s="1"/>
      <c r="AE316" s="1"/>
    </row>
    <row r="317" spans="1:31" ht="12.75" customHeight="1">
      <c r="A317" s="7"/>
      <c r="B317" s="7"/>
      <c r="C317" s="8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9"/>
      <c r="P317" s="7"/>
      <c r="Q317" s="7"/>
      <c r="R317" s="7"/>
      <c r="S317" s="7"/>
      <c r="T317" s="7"/>
      <c r="U317" s="7"/>
      <c r="V317" s="7"/>
      <c r="W317" s="290"/>
      <c r="X317" s="7"/>
      <c r="Y317" s="48"/>
      <c r="Z317" s="7"/>
      <c r="AA317" s="7"/>
      <c r="AB317" s="7"/>
      <c r="AC317" s="7"/>
      <c r="AD317" s="1"/>
      <c r="AE317" s="1"/>
    </row>
    <row r="318" spans="1:31" ht="12.75" customHeight="1">
      <c r="A318" s="7"/>
      <c r="B318" s="7"/>
      <c r="C318" s="8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9"/>
      <c r="P318" s="7"/>
      <c r="Q318" s="7"/>
      <c r="R318" s="7"/>
      <c r="S318" s="7"/>
      <c r="T318" s="7"/>
      <c r="U318" s="7"/>
      <c r="V318" s="7"/>
      <c r="W318" s="290"/>
      <c r="X318" s="7"/>
      <c r="Y318" s="48"/>
      <c r="Z318" s="7"/>
      <c r="AA318" s="7"/>
      <c r="AB318" s="7"/>
      <c r="AC318" s="7"/>
      <c r="AD318" s="1"/>
      <c r="AE318" s="1"/>
    </row>
    <row r="319" spans="1:31" ht="12.75" customHeight="1">
      <c r="A319" s="7"/>
      <c r="B319" s="7"/>
      <c r="C319" s="8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9"/>
      <c r="P319" s="7"/>
      <c r="Q319" s="7"/>
      <c r="R319" s="7"/>
      <c r="S319" s="7"/>
      <c r="T319" s="7"/>
      <c r="U319" s="7"/>
      <c r="V319" s="7"/>
      <c r="W319" s="290"/>
      <c r="X319" s="7"/>
      <c r="Y319" s="48"/>
      <c r="Z319" s="7"/>
      <c r="AA319" s="7"/>
      <c r="AB319" s="7"/>
      <c r="AC319" s="7"/>
      <c r="AD319" s="1"/>
      <c r="AE319" s="1"/>
    </row>
    <row r="320" spans="1:31" ht="12.75" customHeight="1">
      <c r="A320" s="7"/>
      <c r="B320" s="7"/>
      <c r="C320" s="8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9"/>
      <c r="P320" s="7"/>
      <c r="Q320" s="7"/>
      <c r="R320" s="7"/>
      <c r="S320" s="7"/>
      <c r="T320" s="7"/>
      <c r="U320" s="7"/>
      <c r="V320" s="7"/>
      <c r="W320" s="290"/>
      <c r="X320" s="7"/>
      <c r="Y320" s="48"/>
      <c r="Z320" s="7"/>
      <c r="AA320" s="7"/>
      <c r="AB320" s="7"/>
      <c r="AC320" s="7"/>
      <c r="AD320" s="1"/>
      <c r="AE320" s="1"/>
    </row>
    <row r="321" spans="1:31" ht="12.75" customHeight="1">
      <c r="A321" s="7"/>
      <c r="B321" s="7"/>
      <c r="C321" s="8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9"/>
      <c r="P321" s="7"/>
      <c r="Q321" s="7"/>
      <c r="R321" s="7"/>
      <c r="S321" s="7"/>
      <c r="T321" s="7"/>
      <c r="U321" s="7"/>
      <c r="V321" s="7"/>
      <c r="W321" s="290"/>
      <c r="X321" s="7"/>
      <c r="Y321" s="48"/>
      <c r="Z321" s="7"/>
      <c r="AA321" s="7"/>
      <c r="AB321" s="7"/>
      <c r="AC321" s="7"/>
      <c r="AD321" s="1"/>
      <c r="AE321" s="1"/>
    </row>
    <row r="322" spans="1:31" ht="12.75" customHeight="1">
      <c r="A322" s="7"/>
      <c r="B322" s="7"/>
      <c r="C322" s="8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9"/>
      <c r="P322" s="7"/>
      <c r="Q322" s="7"/>
      <c r="R322" s="7"/>
      <c r="S322" s="7"/>
      <c r="T322" s="7"/>
      <c r="U322" s="7"/>
      <c r="V322" s="7"/>
      <c r="W322" s="290"/>
      <c r="X322" s="7"/>
      <c r="Y322" s="48"/>
      <c r="Z322" s="7"/>
      <c r="AA322" s="7"/>
      <c r="AB322" s="7"/>
      <c r="AC322" s="7"/>
      <c r="AD322" s="1"/>
      <c r="AE322" s="1"/>
    </row>
    <row r="323" spans="1:31" ht="12.75" customHeight="1">
      <c r="A323" s="7"/>
      <c r="B323" s="7"/>
      <c r="C323" s="8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9"/>
      <c r="P323" s="7"/>
      <c r="Q323" s="7"/>
      <c r="R323" s="7"/>
      <c r="S323" s="7"/>
      <c r="T323" s="7"/>
      <c r="U323" s="7"/>
      <c r="V323" s="7"/>
      <c r="W323" s="290"/>
      <c r="X323" s="7"/>
      <c r="Y323" s="48"/>
      <c r="Z323" s="7"/>
      <c r="AA323" s="7"/>
      <c r="AB323" s="7"/>
      <c r="AC323" s="7"/>
      <c r="AD323" s="1"/>
      <c r="AE323" s="1"/>
    </row>
    <row r="324" spans="1:31" ht="12.75" customHeight="1">
      <c r="A324" s="7"/>
      <c r="B324" s="7"/>
      <c r="C324" s="8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9"/>
      <c r="P324" s="7"/>
      <c r="Q324" s="7"/>
      <c r="R324" s="7"/>
      <c r="S324" s="7"/>
      <c r="T324" s="7"/>
      <c r="U324" s="7"/>
      <c r="V324" s="7"/>
      <c r="W324" s="290"/>
      <c r="X324" s="7"/>
      <c r="Y324" s="48"/>
      <c r="Z324" s="7"/>
      <c r="AA324" s="7"/>
      <c r="AB324" s="7"/>
      <c r="AC324" s="7"/>
      <c r="AD324" s="1"/>
      <c r="AE324" s="1"/>
    </row>
    <row r="325" spans="1:31" ht="12.75" customHeight="1">
      <c r="A325" s="7"/>
      <c r="B325" s="7"/>
      <c r="C325" s="8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9"/>
      <c r="P325" s="7"/>
      <c r="Q325" s="7"/>
      <c r="R325" s="7"/>
      <c r="S325" s="7"/>
      <c r="T325" s="7"/>
      <c r="U325" s="7"/>
      <c r="V325" s="7"/>
      <c r="W325" s="290"/>
      <c r="X325" s="7"/>
      <c r="Y325" s="48"/>
      <c r="Z325" s="7"/>
      <c r="AA325" s="7"/>
      <c r="AB325" s="7"/>
      <c r="AC325" s="7"/>
      <c r="AD325" s="1"/>
      <c r="AE325" s="1"/>
    </row>
    <row r="326" spans="1:31" ht="12.75" customHeight="1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3"/>
      <c r="P326" s="1"/>
      <c r="Q326" s="1"/>
      <c r="R326" s="1"/>
      <c r="S326" s="1"/>
      <c r="T326" s="1"/>
      <c r="U326" s="1"/>
      <c r="V326" s="1"/>
      <c r="W326" s="290"/>
      <c r="X326" s="1"/>
      <c r="Y326" s="48"/>
      <c r="Z326" s="1"/>
      <c r="AA326" s="1"/>
      <c r="AB326" s="1"/>
      <c r="AC326" s="1"/>
      <c r="AD326" s="1"/>
      <c r="AE326" s="1"/>
    </row>
    <row r="327" spans="1:31" ht="13.5" customHeight="1" thickBot="1">
      <c r="A327" s="1"/>
      <c r="B327" s="1"/>
      <c r="C327" s="2"/>
      <c r="D327" s="1"/>
      <c r="E327" s="7" t="s">
        <v>249</v>
      </c>
      <c r="F327" s="1"/>
      <c r="G327" s="87" t="s">
        <v>249</v>
      </c>
      <c r="H327" s="1"/>
      <c r="I327" s="1"/>
      <c r="J327" s="1"/>
      <c r="K327" s="1"/>
      <c r="L327" s="1"/>
      <c r="M327" s="1"/>
      <c r="N327" s="1"/>
      <c r="O327" s="3"/>
      <c r="P327" s="1"/>
      <c r="Q327" s="1"/>
      <c r="R327" s="1"/>
      <c r="S327" s="87" t="s">
        <v>249</v>
      </c>
      <c r="T327" s="1"/>
      <c r="U327" s="1"/>
      <c r="V327" s="1"/>
      <c r="W327" s="290"/>
      <c r="X327" s="1"/>
      <c r="Y327" s="48"/>
      <c r="Z327" s="1"/>
      <c r="AA327" s="1"/>
      <c r="AB327" s="1"/>
      <c r="AC327" s="1"/>
      <c r="AD327" s="1"/>
      <c r="AE327" s="1"/>
    </row>
    <row r="328" spans="1:31" ht="25.5" customHeight="1">
      <c r="A328" s="1"/>
      <c r="B328" s="1"/>
      <c r="C328" s="2"/>
      <c r="D328" s="1"/>
      <c r="E328" s="409" t="s">
        <v>250</v>
      </c>
      <c r="F328" s="1"/>
      <c r="G328" s="209" t="s">
        <v>138</v>
      </c>
      <c r="H328" s="1"/>
      <c r="I328" s="1"/>
      <c r="J328" s="1"/>
      <c r="K328" s="1"/>
      <c r="L328" s="1"/>
      <c r="M328" s="1"/>
      <c r="N328" s="1"/>
      <c r="O328" s="3"/>
      <c r="P328" s="1"/>
      <c r="Q328" s="1"/>
      <c r="R328" s="1"/>
      <c r="S328" s="209" t="s">
        <v>138</v>
      </c>
      <c r="T328" s="1"/>
      <c r="U328" s="1"/>
      <c r="V328" s="1"/>
      <c r="W328" s="290"/>
      <c r="X328" s="1"/>
      <c r="Y328" s="48"/>
      <c r="Z328" s="1"/>
      <c r="AA328" s="1"/>
      <c r="AB328" s="1"/>
      <c r="AC328" s="1"/>
      <c r="AD328" s="1"/>
      <c r="AE328" s="1"/>
    </row>
    <row r="329" spans="1:31" ht="13.5" customHeight="1" thickBot="1">
      <c r="A329" s="1"/>
      <c r="B329" s="1"/>
      <c r="C329" s="2"/>
      <c r="D329" s="1"/>
      <c r="E329" s="410"/>
      <c r="F329" s="1"/>
      <c r="G329" s="210"/>
      <c r="H329" s="1"/>
      <c r="I329" s="1"/>
      <c r="J329" s="1"/>
      <c r="K329" s="1"/>
      <c r="L329" s="1"/>
      <c r="M329" s="1"/>
      <c r="N329" s="1"/>
      <c r="O329" s="3"/>
      <c r="P329" s="1"/>
      <c r="Q329" s="1"/>
      <c r="R329" s="1"/>
      <c r="S329" s="210"/>
      <c r="T329" s="1"/>
      <c r="U329" s="1"/>
      <c r="V329" s="1"/>
      <c r="W329" s="290"/>
      <c r="X329" s="1"/>
      <c r="Y329" s="48"/>
      <c r="Z329" s="1"/>
      <c r="AA329" s="1"/>
      <c r="AB329" s="1"/>
      <c r="AC329" s="1"/>
      <c r="AD329" s="1"/>
      <c r="AE329" s="1"/>
    </row>
    <row r="330" spans="1:31" ht="12.75" customHeight="1">
      <c r="A330" s="1"/>
      <c r="B330" s="1"/>
      <c r="C330" s="2"/>
      <c r="D330" s="1"/>
      <c r="E330" s="93">
        <v>49875.799999999996</v>
      </c>
      <c r="F330" s="1"/>
      <c r="G330" s="95">
        <v>78309.13</v>
      </c>
      <c r="H330" s="1"/>
      <c r="I330" s="1"/>
      <c r="J330" s="1"/>
      <c r="K330" s="1"/>
      <c r="L330" s="1"/>
      <c r="M330" s="1"/>
      <c r="N330" s="1"/>
      <c r="O330" s="3"/>
      <c r="P330" s="1"/>
      <c r="Q330" s="1"/>
      <c r="R330" s="1"/>
      <c r="S330" s="95">
        <v>78309.13</v>
      </c>
      <c r="T330" s="1"/>
      <c r="U330" s="1"/>
      <c r="V330" s="1"/>
      <c r="W330" s="290"/>
      <c r="X330" s="1"/>
      <c r="Y330" s="48"/>
      <c r="Z330" s="1"/>
      <c r="AA330" s="1"/>
      <c r="AB330" s="1"/>
      <c r="AC330" s="1"/>
      <c r="AD330" s="1"/>
      <c r="AE330" s="1"/>
    </row>
    <row r="331" spans="1:31" ht="12.75" customHeight="1">
      <c r="A331" s="1"/>
      <c r="B331" s="1"/>
      <c r="C331" s="2"/>
      <c r="D331" s="1"/>
      <c r="E331" s="93">
        <v>97389.93</v>
      </c>
      <c r="F331" s="1"/>
      <c r="G331" s="95">
        <f>213180.28-G330</f>
        <v>134871.15</v>
      </c>
      <c r="H331" s="1"/>
      <c r="I331" s="1"/>
      <c r="J331" s="1"/>
      <c r="K331" s="1"/>
      <c r="L331" s="1"/>
      <c r="M331" s="1"/>
      <c r="N331" s="1"/>
      <c r="O331" s="3"/>
      <c r="P331" s="1"/>
      <c r="Q331" s="1"/>
      <c r="R331" s="1"/>
      <c r="S331" s="95">
        <f>213180.28-S330</f>
        <v>134871.15</v>
      </c>
      <c r="T331" s="1"/>
      <c r="U331" s="1"/>
      <c r="V331" s="1"/>
      <c r="W331" s="290"/>
      <c r="X331" s="1"/>
      <c r="Y331" s="48"/>
      <c r="Z331" s="1"/>
      <c r="AA331" s="1"/>
      <c r="AB331" s="1"/>
      <c r="AC331" s="1"/>
      <c r="AD331" s="1"/>
      <c r="AE331" s="1"/>
    </row>
    <row r="332" spans="1:31" ht="12.75" customHeight="1">
      <c r="A332" s="1"/>
      <c r="B332" s="1"/>
      <c r="C332" s="2"/>
      <c r="D332" s="1"/>
      <c r="E332" s="93">
        <v>0</v>
      </c>
      <c r="F332" s="1"/>
      <c r="G332" s="95">
        <v>0</v>
      </c>
      <c r="H332" s="1"/>
      <c r="I332" s="1"/>
      <c r="J332" s="1"/>
      <c r="K332" s="1"/>
      <c r="L332" s="1"/>
      <c r="M332" s="1"/>
      <c r="N332" s="1"/>
      <c r="O332" s="3"/>
      <c r="P332" s="1"/>
      <c r="Q332" s="1"/>
      <c r="R332" s="1"/>
      <c r="S332" s="95">
        <v>0</v>
      </c>
      <c r="T332" s="1"/>
      <c r="U332" s="1"/>
      <c r="V332" s="1"/>
      <c r="W332" s="290"/>
      <c r="X332" s="1"/>
      <c r="Y332" s="48"/>
      <c r="Z332" s="1"/>
      <c r="AA332" s="1"/>
      <c r="AB332" s="1"/>
      <c r="AC332" s="1"/>
      <c r="AD332" s="1"/>
      <c r="AE332" s="1"/>
    </row>
    <row r="333" spans="1:31" ht="12.75" customHeight="1">
      <c r="A333" s="1"/>
      <c r="B333" s="1"/>
      <c r="C333" s="2"/>
      <c r="D333" s="1"/>
      <c r="E333" s="93">
        <v>13536.71</v>
      </c>
      <c r="F333" s="1"/>
      <c r="G333" s="95">
        <f>105779.89+99168.65</f>
        <v>204948.53999999998</v>
      </c>
      <c r="H333" s="1"/>
      <c r="I333" s="1"/>
      <c r="J333" s="1"/>
      <c r="K333" s="1"/>
      <c r="L333" s="1"/>
      <c r="M333" s="1"/>
      <c r="N333" s="1"/>
      <c r="O333" s="3"/>
      <c r="P333" s="1"/>
      <c r="Q333" s="1"/>
      <c r="R333" s="1"/>
      <c r="S333" s="95">
        <f>105779.89+99168.65</f>
        <v>204948.53999999998</v>
      </c>
      <c r="T333" s="1"/>
      <c r="U333" s="1"/>
      <c r="V333" s="1"/>
      <c r="W333" s="290"/>
      <c r="X333" s="1"/>
      <c r="Y333" s="48"/>
      <c r="Z333" s="1"/>
      <c r="AA333" s="1"/>
      <c r="AB333" s="1"/>
      <c r="AC333" s="1"/>
      <c r="AD333" s="1"/>
      <c r="AE333" s="1"/>
    </row>
    <row r="334" spans="1:31" ht="12.75" customHeight="1">
      <c r="A334" s="1"/>
      <c r="B334" s="1"/>
      <c r="C334" s="2"/>
      <c r="D334" s="1"/>
      <c r="E334" s="93">
        <v>884.59</v>
      </c>
      <c r="F334" s="1"/>
      <c r="G334" s="95">
        <v>22230.83</v>
      </c>
      <c r="H334" s="1"/>
      <c r="I334" s="1"/>
      <c r="J334" s="1"/>
      <c r="K334" s="1"/>
      <c r="L334" s="1"/>
      <c r="M334" s="1"/>
      <c r="N334" s="1"/>
      <c r="O334" s="3"/>
      <c r="P334" s="1"/>
      <c r="Q334" s="1"/>
      <c r="R334" s="1"/>
      <c r="S334" s="95">
        <v>22230.83</v>
      </c>
      <c r="T334" s="1"/>
      <c r="U334" s="1"/>
      <c r="V334" s="1"/>
      <c r="W334" s="290"/>
      <c r="X334" s="1"/>
      <c r="Y334" s="48"/>
      <c r="Z334" s="1"/>
      <c r="AA334" s="1"/>
      <c r="AB334" s="1"/>
      <c r="AC334" s="1"/>
      <c r="AD334" s="1"/>
      <c r="AE334" s="1"/>
    </row>
    <row r="335" spans="1:31" ht="12.75" customHeight="1">
      <c r="A335" s="1"/>
      <c r="B335" s="1"/>
      <c r="C335" s="2"/>
      <c r="D335" s="1"/>
      <c r="E335" s="93">
        <v>0</v>
      </c>
      <c r="F335" s="1"/>
      <c r="G335" s="95"/>
      <c r="H335" s="1"/>
      <c r="I335" s="1"/>
      <c r="J335" s="1"/>
      <c r="K335" s="1"/>
      <c r="L335" s="1"/>
      <c r="M335" s="1"/>
      <c r="N335" s="1"/>
      <c r="O335" s="3"/>
      <c r="P335" s="1"/>
      <c r="Q335" s="1"/>
      <c r="R335" s="1"/>
      <c r="S335" s="95"/>
      <c r="T335" s="1"/>
      <c r="U335" s="1"/>
      <c r="V335" s="1"/>
      <c r="W335" s="290"/>
      <c r="X335" s="1"/>
      <c r="Y335" s="48"/>
      <c r="Z335" s="1"/>
      <c r="AA335" s="1"/>
      <c r="AB335" s="1"/>
      <c r="AC335" s="1"/>
      <c r="AD335" s="1"/>
      <c r="AE335" s="1"/>
    </row>
    <row r="336" spans="1:31" ht="13.5" customHeight="1" thickBot="1">
      <c r="A336" s="1"/>
      <c r="B336" s="1"/>
      <c r="C336" s="2"/>
      <c r="D336" s="1"/>
      <c r="E336" s="98">
        <v>0</v>
      </c>
      <c r="F336" s="1"/>
      <c r="G336" s="95"/>
      <c r="H336" s="1"/>
      <c r="I336" s="1"/>
      <c r="J336" s="1"/>
      <c r="K336" s="1"/>
      <c r="L336" s="1"/>
      <c r="M336" s="1"/>
      <c r="N336" s="1"/>
      <c r="O336" s="3"/>
      <c r="P336" s="1"/>
      <c r="Q336" s="1"/>
      <c r="R336" s="1"/>
      <c r="S336" s="95"/>
      <c r="T336" s="1"/>
      <c r="U336" s="1"/>
      <c r="V336" s="1"/>
      <c r="W336" s="290"/>
      <c r="X336" s="1"/>
      <c r="Y336" s="48"/>
      <c r="Z336" s="1"/>
      <c r="AA336" s="1"/>
      <c r="AB336" s="1"/>
      <c r="AC336" s="1"/>
      <c r="AD336" s="1"/>
      <c r="AE336" s="1"/>
    </row>
    <row r="337" spans="1:31" ht="12.75" customHeight="1">
      <c r="A337" s="1"/>
      <c r="B337" s="1"/>
      <c r="C337" s="2"/>
      <c r="D337" s="1"/>
      <c r="E337" s="104"/>
      <c r="F337" s="1"/>
      <c r="G337" s="104"/>
      <c r="H337" s="1"/>
      <c r="I337" s="1"/>
      <c r="J337" s="1"/>
      <c r="K337" s="1"/>
      <c r="L337" s="1"/>
      <c r="M337" s="1"/>
      <c r="N337" s="1"/>
      <c r="O337" s="3"/>
      <c r="P337" s="1"/>
      <c r="Q337" s="1"/>
      <c r="R337" s="1"/>
      <c r="S337" s="104"/>
      <c r="T337" s="1"/>
      <c r="U337" s="1"/>
      <c r="V337" s="1"/>
      <c r="W337" s="290"/>
      <c r="X337" s="1"/>
      <c r="Y337" s="48"/>
      <c r="Z337" s="1"/>
      <c r="AA337" s="1"/>
      <c r="AB337" s="1"/>
      <c r="AC337" s="1"/>
      <c r="AD337" s="1"/>
      <c r="AE337" s="1"/>
    </row>
    <row r="338" spans="1:31" ht="15.75" customHeight="1" thickBot="1">
      <c r="A338" s="1"/>
      <c r="B338" s="1"/>
      <c r="C338" s="2"/>
      <c r="D338" s="1"/>
      <c r="E338" s="99">
        <f>SUM(E330:E337)</f>
        <v>161687.02999999997</v>
      </c>
      <c r="F338" s="1"/>
      <c r="G338" s="99">
        <f>SUM(G330:G337)</f>
        <v>440359.64999999997</v>
      </c>
      <c r="H338" s="1"/>
      <c r="I338" s="1"/>
      <c r="J338" s="1"/>
      <c r="K338" s="1"/>
      <c r="L338" s="1"/>
      <c r="M338" s="1"/>
      <c r="N338" s="1"/>
      <c r="O338" s="3"/>
      <c r="P338" s="1"/>
      <c r="Q338" s="1"/>
      <c r="R338" s="1"/>
      <c r="S338" s="99">
        <f>SUM(S330:S337)</f>
        <v>440359.64999999997</v>
      </c>
      <c r="T338" s="1"/>
      <c r="U338" s="1"/>
      <c r="V338" s="1"/>
      <c r="W338" s="290"/>
      <c r="X338" s="1"/>
      <c r="Y338" s="48"/>
      <c r="Z338" s="1"/>
      <c r="AA338" s="1"/>
      <c r="AB338" s="1"/>
      <c r="AC338" s="1"/>
      <c r="AD338" s="1"/>
      <c r="AE338" s="1"/>
    </row>
    <row r="339" spans="1:31" ht="14.25" customHeight="1">
      <c r="A339" s="1"/>
      <c r="B339" s="1"/>
      <c r="C339" s="2"/>
      <c r="D339" s="1"/>
      <c r="E339" s="100"/>
      <c r="F339" s="1"/>
      <c r="G339" s="101"/>
      <c r="H339" s="1"/>
      <c r="I339" s="1"/>
      <c r="J339" s="1"/>
      <c r="K339" s="1"/>
      <c r="L339" s="1"/>
      <c r="M339" s="1"/>
      <c r="N339" s="1"/>
      <c r="O339" s="3"/>
      <c r="P339" s="1"/>
      <c r="Q339" s="1"/>
      <c r="R339" s="1"/>
      <c r="S339" s="101"/>
      <c r="T339" s="1"/>
      <c r="U339" s="1"/>
      <c r="V339" s="1"/>
      <c r="W339" s="290"/>
      <c r="X339" s="1"/>
      <c r="Y339" s="48"/>
      <c r="Z339" s="1"/>
      <c r="AA339" s="1"/>
      <c r="AB339" s="1"/>
      <c r="AC339" s="1"/>
      <c r="AD339" s="1"/>
      <c r="AE339" s="1"/>
    </row>
    <row r="340" spans="1:31" ht="14.25" customHeight="1">
      <c r="A340" s="1"/>
      <c r="B340" s="1"/>
      <c r="C340" s="2"/>
      <c r="D340" s="1"/>
      <c r="E340" s="100"/>
      <c r="F340" s="1"/>
      <c r="G340" s="87"/>
      <c r="H340" s="1"/>
      <c r="I340" s="1"/>
      <c r="J340" s="1"/>
      <c r="K340" s="1"/>
      <c r="L340" s="1"/>
      <c r="M340" s="1"/>
      <c r="N340" s="1"/>
      <c r="O340" s="3"/>
      <c r="P340" s="1"/>
      <c r="Q340" s="1"/>
      <c r="R340" s="1"/>
      <c r="S340" s="87"/>
      <c r="T340" s="1"/>
      <c r="U340" s="1"/>
      <c r="V340" s="1"/>
      <c r="W340" s="290"/>
      <c r="X340" s="1"/>
      <c r="Y340" s="48"/>
      <c r="Z340" s="1"/>
      <c r="AA340" s="1"/>
      <c r="AB340" s="1"/>
      <c r="AC340" s="1"/>
      <c r="AD340" s="1"/>
      <c r="AE340" s="1"/>
    </row>
    <row r="341" spans="1:31" ht="14.25" customHeight="1">
      <c r="A341" s="1"/>
      <c r="B341" s="1"/>
      <c r="C341" s="2"/>
      <c r="D341" s="1"/>
      <c r="E341" s="100"/>
      <c r="F341" s="1"/>
      <c r="G341" s="87"/>
      <c r="H341" s="1"/>
      <c r="I341" s="1"/>
      <c r="J341" s="1"/>
      <c r="K341" s="1"/>
      <c r="L341" s="1"/>
      <c r="M341" s="1"/>
      <c r="N341" s="1"/>
      <c r="O341" s="3"/>
      <c r="P341" s="1"/>
      <c r="Q341" s="1"/>
      <c r="R341" s="1"/>
      <c r="S341" s="87"/>
      <c r="T341" s="1"/>
      <c r="U341" s="1"/>
      <c r="V341" s="1"/>
      <c r="W341" s="290"/>
      <c r="X341" s="1"/>
      <c r="Y341" s="48"/>
      <c r="Z341" s="1"/>
      <c r="AA341" s="1"/>
      <c r="AB341" s="1"/>
      <c r="AC341" s="1"/>
      <c r="AD341" s="1"/>
      <c r="AE341" s="1"/>
    </row>
    <row r="342" spans="1:31" ht="13.5" customHeight="1" thickBot="1">
      <c r="A342" s="1"/>
      <c r="B342" s="1"/>
      <c r="C342" s="2"/>
      <c r="D342" s="1"/>
      <c r="E342" s="87" t="s">
        <v>251</v>
      </c>
      <c r="F342" s="1"/>
      <c r="G342" s="111" t="s">
        <v>251</v>
      </c>
      <c r="H342" s="1"/>
      <c r="I342" s="1"/>
      <c r="J342" s="1"/>
      <c r="K342" s="1"/>
      <c r="L342" s="1"/>
      <c r="M342" s="1"/>
      <c r="N342" s="1"/>
      <c r="O342" s="3"/>
      <c r="P342" s="1"/>
      <c r="Q342" s="1"/>
      <c r="R342" s="1"/>
      <c r="S342" s="111" t="s">
        <v>251</v>
      </c>
      <c r="T342" s="1"/>
      <c r="U342" s="1"/>
      <c r="V342" s="1"/>
      <c r="W342" s="290"/>
      <c r="X342" s="1"/>
      <c r="Y342" s="48"/>
      <c r="Z342" s="1"/>
      <c r="AA342" s="1"/>
      <c r="AB342" s="1"/>
      <c r="AC342" s="1"/>
      <c r="AD342" s="1"/>
      <c r="AE342" s="1"/>
    </row>
    <row r="343" spans="1:31" ht="25.5" customHeight="1">
      <c r="A343" s="1"/>
      <c r="B343" s="1"/>
      <c r="C343" s="2"/>
      <c r="D343" s="1"/>
      <c r="E343" s="409" t="s">
        <v>250</v>
      </c>
      <c r="F343" s="1"/>
      <c r="G343" s="209" t="s">
        <v>138</v>
      </c>
      <c r="H343" s="1"/>
      <c r="I343" s="1"/>
      <c r="J343" s="1"/>
      <c r="K343" s="1"/>
      <c r="L343" s="1"/>
      <c r="M343" s="1"/>
      <c r="N343" s="1"/>
      <c r="O343" s="3"/>
      <c r="P343" s="1"/>
      <c r="Q343" s="1"/>
      <c r="R343" s="1"/>
      <c r="S343" s="209" t="s">
        <v>138</v>
      </c>
      <c r="T343" s="1"/>
      <c r="U343" s="1"/>
      <c r="V343" s="1"/>
      <c r="W343" s="290"/>
      <c r="X343" s="1"/>
      <c r="Y343" s="48"/>
      <c r="Z343" s="1"/>
      <c r="AA343" s="1"/>
      <c r="AB343" s="1"/>
      <c r="AC343" s="1"/>
      <c r="AD343" s="1"/>
      <c r="AE343" s="1"/>
    </row>
    <row r="344" spans="1:31" ht="13.5" customHeight="1" thickBot="1">
      <c r="A344" s="1"/>
      <c r="B344" s="1"/>
      <c r="C344" s="2"/>
      <c r="D344" s="1"/>
      <c r="E344" s="410"/>
      <c r="F344" s="1"/>
      <c r="G344" s="210"/>
      <c r="H344" s="1"/>
      <c r="I344" s="1"/>
      <c r="J344" s="1"/>
      <c r="K344" s="1"/>
      <c r="L344" s="1"/>
      <c r="M344" s="1"/>
      <c r="N344" s="1"/>
      <c r="O344" s="3"/>
      <c r="P344" s="1"/>
      <c r="Q344" s="1"/>
      <c r="R344" s="1"/>
      <c r="S344" s="210"/>
      <c r="T344" s="1"/>
      <c r="U344" s="1"/>
      <c r="V344" s="1"/>
      <c r="W344" s="290"/>
      <c r="X344" s="1"/>
      <c r="Y344" s="48"/>
      <c r="Z344" s="1"/>
      <c r="AA344" s="1"/>
      <c r="AB344" s="1"/>
      <c r="AC344" s="1"/>
      <c r="AD344" s="1"/>
      <c r="AE344" s="1"/>
    </row>
    <row r="345" spans="1:31" ht="12.75" customHeight="1">
      <c r="A345" s="1"/>
      <c r="B345" s="1"/>
      <c r="C345" s="2"/>
      <c r="D345" s="1"/>
      <c r="E345" s="103">
        <v>19000.5</v>
      </c>
      <c r="F345" s="1"/>
      <c r="G345" s="95">
        <f>528899.44</f>
        <v>528899.43999999994</v>
      </c>
      <c r="H345" s="1"/>
      <c r="I345" s="1"/>
      <c r="J345" s="1"/>
      <c r="K345" s="1"/>
      <c r="L345" s="1"/>
      <c r="M345" s="1"/>
      <c r="N345" s="1"/>
      <c r="O345" s="3"/>
      <c r="P345" s="1"/>
      <c r="Q345" s="1"/>
      <c r="R345" s="1"/>
      <c r="S345" s="95">
        <f>528899.44</f>
        <v>528899.43999999994</v>
      </c>
      <c r="T345" s="1"/>
      <c r="U345" s="1"/>
      <c r="V345" s="1"/>
      <c r="W345" s="290"/>
      <c r="X345" s="1"/>
      <c r="Y345" s="48"/>
      <c r="Z345" s="1"/>
      <c r="AA345" s="1"/>
      <c r="AB345" s="1"/>
      <c r="AC345" s="1"/>
      <c r="AD345" s="1"/>
      <c r="AE345" s="1"/>
    </row>
    <row r="346" spans="1:31" ht="12.75" customHeight="1">
      <c r="A346" s="1"/>
      <c r="B346" s="1"/>
      <c r="C346" s="2"/>
      <c r="D346" s="1"/>
      <c r="E346" s="93">
        <v>128377.54000000001</v>
      </c>
      <c r="F346" s="1"/>
      <c r="G346" s="95">
        <f>165372+12061.06+4620.53</f>
        <v>182053.59</v>
      </c>
      <c r="H346" s="1"/>
      <c r="I346" s="1"/>
      <c r="J346" s="1"/>
      <c r="K346" s="1"/>
      <c r="L346" s="1"/>
      <c r="M346" s="1"/>
      <c r="N346" s="1"/>
      <c r="O346" s="3"/>
      <c r="P346" s="1"/>
      <c r="Q346" s="1"/>
      <c r="R346" s="1"/>
      <c r="S346" s="95">
        <f>165372+12061.06+4620.53</f>
        <v>182053.59</v>
      </c>
      <c r="T346" s="1"/>
      <c r="U346" s="1"/>
      <c r="V346" s="1"/>
      <c r="W346" s="290"/>
      <c r="X346" s="1"/>
      <c r="Y346" s="48"/>
      <c r="Z346" s="1"/>
      <c r="AA346" s="1"/>
      <c r="AB346" s="1"/>
      <c r="AC346" s="1"/>
      <c r="AD346" s="1"/>
      <c r="AE346" s="1"/>
    </row>
    <row r="347" spans="1:31" ht="12.75" customHeight="1">
      <c r="A347" s="1"/>
      <c r="B347" s="1"/>
      <c r="C347" s="2"/>
      <c r="D347" s="1"/>
      <c r="E347" s="93">
        <v>0</v>
      </c>
      <c r="F347" s="1"/>
      <c r="G347" s="95">
        <v>0</v>
      </c>
      <c r="H347" s="1"/>
      <c r="I347" s="1"/>
      <c r="J347" s="1"/>
      <c r="K347" s="1"/>
      <c r="L347" s="1"/>
      <c r="M347" s="1"/>
      <c r="N347" s="1"/>
      <c r="O347" s="3"/>
      <c r="P347" s="1"/>
      <c r="Q347" s="1"/>
      <c r="R347" s="1"/>
      <c r="S347" s="95">
        <v>0</v>
      </c>
      <c r="T347" s="1"/>
      <c r="U347" s="1"/>
      <c r="V347" s="1"/>
      <c r="W347" s="290"/>
      <c r="X347" s="1"/>
      <c r="Y347" s="48"/>
      <c r="Z347" s="1"/>
      <c r="AA347" s="1"/>
      <c r="AB347" s="1"/>
      <c r="AC347" s="1"/>
      <c r="AD347" s="1"/>
      <c r="AE347" s="1"/>
    </row>
    <row r="348" spans="1:31" ht="12.75" customHeight="1">
      <c r="A348" s="1"/>
      <c r="B348" s="1"/>
      <c r="C348" s="2"/>
      <c r="D348" s="1"/>
      <c r="E348" s="93">
        <v>340.09000000000003</v>
      </c>
      <c r="F348" s="1"/>
      <c r="G348" s="95">
        <v>13515.35</v>
      </c>
      <c r="H348" s="1"/>
      <c r="I348" s="1"/>
      <c r="J348" s="1"/>
      <c r="K348" s="1"/>
      <c r="L348" s="1"/>
      <c r="M348" s="1"/>
      <c r="N348" s="1"/>
      <c r="O348" s="3"/>
      <c r="P348" s="1"/>
      <c r="Q348" s="1"/>
      <c r="R348" s="1"/>
      <c r="S348" s="95">
        <v>13515.35</v>
      </c>
      <c r="T348" s="1"/>
      <c r="U348" s="1"/>
      <c r="V348" s="1"/>
      <c r="W348" s="290"/>
      <c r="X348" s="1"/>
      <c r="Y348" s="48"/>
      <c r="Z348" s="1"/>
      <c r="AA348" s="1"/>
      <c r="AB348" s="1"/>
      <c r="AC348" s="1"/>
      <c r="AD348" s="1"/>
      <c r="AE348" s="1"/>
    </row>
    <row r="349" spans="1:31" ht="12.75" customHeight="1">
      <c r="A349" s="1"/>
      <c r="B349" s="1"/>
      <c r="C349" s="2"/>
      <c r="D349" s="1"/>
      <c r="E349" s="93">
        <v>13968.9</v>
      </c>
      <c r="F349" s="1"/>
      <c r="G349" s="95">
        <v>0</v>
      </c>
      <c r="H349" s="1"/>
      <c r="I349" s="1"/>
      <c r="J349" s="1"/>
      <c r="K349" s="1"/>
      <c r="L349" s="1"/>
      <c r="M349" s="1"/>
      <c r="N349" s="1"/>
      <c r="O349" s="3"/>
      <c r="P349" s="1"/>
      <c r="Q349" s="1"/>
      <c r="R349" s="1"/>
      <c r="S349" s="95">
        <v>0</v>
      </c>
      <c r="T349" s="1"/>
      <c r="U349" s="1"/>
      <c r="V349" s="1"/>
      <c r="W349" s="290"/>
      <c r="X349" s="1"/>
      <c r="Y349" s="48"/>
      <c r="Z349" s="1"/>
      <c r="AA349" s="1"/>
      <c r="AB349" s="1"/>
      <c r="AC349" s="1"/>
      <c r="AD349" s="1"/>
      <c r="AE349" s="1"/>
    </row>
    <row r="350" spans="1:31" ht="15.75" customHeight="1" thickBot="1">
      <c r="A350" s="1"/>
      <c r="B350" s="1"/>
      <c r="C350" s="2"/>
      <c r="D350" s="1"/>
      <c r="E350" s="98">
        <v>0</v>
      </c>
      <c r="F350" s="1"/>
      <c r="G350" s="95">
        <v>0</v>
      </c>
      <c r="H350" s="1"/>
      <c r="I350" s="1"/>
      <c r="J350" s="1"/>
      <c r="K350" s="1"/>
      <c r="L350" s="1"/>
      <c r="M350" s="1"/>
      <c r="N350" s="1"/>
      <c r="O350" s="3"/>
      <c r="P350" s="1"/>
      <c r="Q350" s="1"/>
      <c r="R350" s="1"/>
      <c r="S350" s="95">
        <v>0</v>
      </c>
      <c r="T350" s="1"/>
      <c r="U350" s="1"/>
      <c r="V350" s="1"/>
      <c r="W350" s="290"/>
      <c r="X350" s="1"/>
      <c r="Y350" s="48"/>
      <c r="Z350" s="1"/>
      <c r="AA350" s="1"/>
      <c r="AB350" s="1"/>
      <c r="AC350" s="1"/>
      <c r="AD350" s="1"/>
      <c r="AE350" s="1"/>
    </row>
    <row r="351" spans="1:31" ht="12.75" customHeight="1">
      <c r="A351" s="1"/>
      <c r="B351" s="1"/>
      <c r="C351" s="2"/>
      <c r="D351" s="1"/>
      <c r="E351" s="211"/>
      <c r="F351" s="1"/>
      <c r="G351" s="104"/>
      <c r="H351" s="1"/>
      <c r="I351" s="1"/>
      <c r="J351" s="1"/>
      <c r="K351" s="1"/>
      <c r="L351" s="1"/>
      <c r="M351" s="1"/>
      <c r="N351" s="1"/>
      <c r="O351" s="3"/>
      <c r="P351" s="1"/>
      <c r="Q351" s="1"/>
      <c r="R351" s="1"/>
      <c r="S351" s="104"/>
      <c r="T351" s="1"/>
      <c r="U351" s="1"/>
      <c r="V351" s="1"/>
      <c r="W351" s="290"/>
      <c r="X351" s="1"/>
      <c r="Y351" s="48"/>
      <c r="Z351" s="1"/>
      <c r="AA351" s="1"/>
      <c r="AB351" s="1"/>
      <c r="AC351" s="1"/>
      <c r="AD351" s="1"/>
      <c r="AE351" s="1"/>
    </row>
    <row r="352" spans="1:31" ht="15.75" customHeight="1" thickBot="1">
      <c r="A352" s="1"/>
      <c r="B352" s="1"/>
      <c r="C352" s="2"/>
      <c r="D352" s="1"/>
      <c r="E352" s="99">
        <f>SUM(E345:E351)</f>
        <v>161687.03</v>
      </c>
      <c r="F352" s="1"/>
      <c r="G352" s="99">
        <f>SUM(G345:G351)</f>
        <v>724468.37999999989</v>
      </c>
      <c r="H352" s="1"/>
      <c r="I352" s="1"/>
      <c r="J352" s="1"/>
      <c r="K352" s="1"/>
      <c r="L352" s="1"/>
      <c r="M352" s="1"/>
      <c r="N352" s="1"/>
      <c r="O352" s="3"/>
      <c r="P352" s="1"/>
      <c r="Q352" s="1"/>
      <c r="R352" s="1"/>
      <c r="S352" s="99">
        <f>SUM(S345:S351)</f>
        <v>724468.37999999989</v>
      </c>
      <c r="T352" s="1"/>
      <c r="U352" s="1"/>
      <c r="V352" s="1"/>
      <c r="W352" s="290"/>
      <c r="X352" s="1"/>
      <c r="Y352" s="48"/>
      <c r="Z352" s="1"/>
      <c r="AA352" s="1"/>
      <c r="AB352" s="1"/>
      <c r="AC352" s="1"/>
      <c r="AD352" s="1"/>
      <c r="AE352" s="1"/>
    </row>
    <row r="353" spans="1:31" ht="14.25" customHeight="1">
      <c r="A353" s="1"/>
      <c r="B353" s="1"/>
      <c r="C353" s="2"/>
      <c r="D353" s="1"/>
      <c r="E353" s="100"/>
      <c r="F353" s="1"/>
      <c r="G353" s="87"/>
      <c r="H353" s="1"/>
      <c r="I353" s="1"/>
      <c r="J353" s="1"/>
      <c r="K353" s="1"/>
      <c r="L353" s="1"/>
      <c r="M353" s="1"/>
      <c r="N353" s="1"/>
      <c r="O353" s="3"/>
      <c r="P353" s="1"/>
      <c r="Q353" s="1"/>
      <c r="R353" s="1"/>
      <c r="S353" s="87"/>
      <c r="T353" s="1"/>
      <c r="U353" s="1"/>
      <c r="V353" s="1"/>
      <c r="W353" s="290"/>
      <c r="X353" s="1"/>
      <c r="Y353" s="48"/>
      <c r="Z353" s="1"/>
      <c r="AA353" s="1"/>
      <c r="AB353" s="1"/>
      <c r="AC353" s="1"/>
      <c r="AD353" s="1"/>
      <c r="AE353" s="1"/>
    </row>
    <row r="354" spans="1:31" ht="15.75" customHeight="1" thickBot="1">
      <c r="A354" s="1"/>
      <c r="B354" s="1"/>
      <c r="C354" s="2"/>
      <c r="D354" s="1"/>
      <c r="E354" s="100"/>
      <c r="F354" s="1"/>
      <c r="G354" s="87"/>
      <c r="H354" s="1"/>
      <c r="I354" s="1"/>
      <c r="J354" s="1"/>
      <c r="K354" s="1"/>
      <c r="L354" s="1"/>
      <c r="M354" s="1"/>
      <c r="N354" s="1"/>
      <c r="O354" s="3"/>
      <c r="P354" s="1"/>
      <c r="Q354" s="1"/>
      <c r="R354" s="1"/>
      <c r="S354" s="87"/>
      <c r="T354" s="1"/>
      <c r="U354" s="1"/>
      <c r="V354" s="1"/>
      <c r="W354" s="290"/>
      <c r="X354" s="1"/>
      <c r="Y354" s="48"/>
      <c r="Z354" s="1"/>
      <c r="AA354" s="1"/>
      <c r="AB354" s="1"/>
      <c r="AC354" s="1"/>
      <c r="AD354" s="1"/>
      <c r="AE354" s="1"/>
    </row>
    <row r="355" spans="1:31" ht="25.5" customHeight="1">
      <c r="A355" s="1"/>
      <c r="B355" s="1"/>
      <c r="C355" s="2"/>
      <c r="D355" s="1"/>
      <c r="E355" s="409" t="s">
        <v>250</v>
      </c>
      <c r="F355" s="1"/>
      <c r="G355" s="212" t="s">
        <v>138</v>
      </c>
      <c r="H355" s="1"/>
      <c r="I355" s="1"/>
      <c r="J355" s="1"/>
      <c r="K355" s="1"/>
      <c r="L355" s="1"/>
      <c r="M355" s="1"/>
      <c r="N355" s="1"/>
      <c r="O355" s="3"/>
      <c r="P355" s="1"/>
      <c r="Q355" s="1"/>
      <c r="R355" s="1"/>
      <c r="S355" s="212" t="s">
        <v>138</v>
      </c>
      <c r="T355" s="1"/>
      <c r="U355" s="1"/>
      <c r="V355" s="1"/>
      <c r="W355" s="290"/>
      <c r="X355" s="1"/>
      <c r="Y355" s="48"/>
      <c r="Z355" s="1"/>
      <c r="AA355" s="1"/>
      <c r="AB355" s="1"/>
      <c r="AC355" s="1"/>
      <c r="AD355" s="1"/>
      <c r="AE355" s="1"/>
    </row>
    <row r="356" spans="1:31" ht="13.5" customHeight="1" thickBot="1">
      <c r="A356" s="1"/>
      <c r="B356" s="1"/>
      <c r="C356" s="2"/>
      <c r="D356" s="1"/>
      <c r="E356" s="410"/>
      <c r="F356" s="1"/>
      <c r="G356" s="212"/>
      <c r="H356" s="1"/>
      <c r="I356" s="1"/>
      <c r="J356" s="1"/>
      <c r="K356" s="1"/>
      <c r="L356" s="1"/>
      <c r="M356" s="1"/>
      <c r="N356" s="1"/>
      <c r="O356" s="3"/>
      <c r="P356" s="1"/>
      <c r="Q356" s="1"/>
      <c r="R356" s="1"/>
      <c r="S356" s="212"/>
      <c r="T356" s="1"/>
      <c r="U356" s="1"/>
      <c r="V356" s="1"/>
      <c r="W356" s="290"/>
      <c r="X356" s="1"/>
      <c r="Y356" s="48"/>
      <c r="Z356" s="1"/>
      <c r="AA356" s="1"/>
      <c r="AB356" s="1"/>
      <c r="AC356" s="1"/>
      <c r="AD356" s="1"/>
      <c r="AE356" s="1"/>
    </row>
    <row r="357" spans="1:31" ht="14.25" customHeight="1">
      <c r="A357" s="1"/>
      <c r="B357" s="1"/>
      <c r="C357" s="2"/>
      <c r="D357" s="1"/>
      <c r="E357" s="109">
        <f>E338</f>
        <v>161687.02999999997</v>
      </c>
      <c r="F357" s="1"/>
      <c r="G357" s="109">
        <f>G338</f>
        <v>440359.64999999997</v>
      </c>
      <c r="H357" s="1"/>
      <c r="I357" s="1"/>
      <c r="J357" s="1"/>
      <c r="K357" s="1"/>
      <c r="L357" s="1"/>
      <c r="M357" s="1"/>
      <c r="N357" s="1"/>
      <c r="O357" s="3"/>
      <c r="P357" s="1"/>
      <c r="Q357" s="1"/>
      <c r="R357" s="1"/>
      <c r="S357" s="109">
        <f>S338</f>
        <v>440359.64999999997</v>
      </c>
      <c r="T357" s="1"/>
      <c r="U357" s="1"/>
      <c r="V357" s="1"/>
      <c r="W357" s="290"/>
      <c r="X357" s="1"/>
      <c r="Y357" s="48"/>
      <c r="Z357" s="1"/>
      <c r="AA357" s="1"/>
      <c r="AB357" s="1"/>
      <c r="AC357" s="1"/>
      <c r="AD357" s="1"/>
      <c r="AE357" s="1"/>
    </row>
    <row r="358" spans="1:31" ht="14.25" customHeight="1">
      <c r="A358" s="1"/>
      <c r="B358" s="1"/>
      <c r="C358" s="2"/>
      <c r="D358" s="1"/>
      <c r="E358" s="109">
        <f>E352</f>
        <v>161687.03</v>
      </c>
      <c r="F358" s="1"/>
      <c r="G358" s="109">
        <f>G352</f>
        <v>724468.37999999989</v>
      </c>
      <c r="H358" s="1"/>
      <c r="I358" s="1"/>
      <c r="J358" s="1"/>
      <c r="K358" s="1"/>
      <c r="L358" s="1"/>
      <c r="M358" s="1"/>
      <c r="N358" s="1"/>
      <c r="O358" s="3"/>
      <c r="P358" s="1"/>
      <c r="Q358" s="1"/>
      <c r="R358" s="1"/>
      <c r="S358" s="109">
        <f>S352</f>
        <v>724468.37999999989</v>
      </c>
      <c r="T358" s="1"/>
      <c r="U358" s="1"/>
      <c r="V358" s="1"/>
      <c r="W358" s="290"/>
      <c r="X358" s="1"/>
      <c r="Y358" s="48"/>
      <c r="Z358" s="1"/>
      <c r="AA358" s="1"/>
      <c r="AB358" s="1"/>
      <c r="AC358" s="1"/>
      <c r="AD358" s="1"/>
      <c r="AE358" s="1"/>
    </row>
    <row r="359" spans="1:31" ht="14.25" customHeight="1">
      <c r="A359" s="1"/>
      <c r="B359" s="1"/>
      <c r="C359" s="2"/>
      <c r="D359" s="1"/>
      <c r="E359" s="110"/>
      <c r="F359" s="1"/>
      <c r="G359" s="109"/>
      <c r="H359" s="1"/>
      <c r="I359" s="1"/>
      <c r="J359" s="1"/>
      <c r="K359" s="1"/>
      <c r="L359" s="1"/>
      <c r="M359" s="1"/>
      <c r="N359" s="1"/>
      <c r="O359" s="3"/>
      <c r="P359" s="1"/>
      <c r="Q359" s="1"/>
      <c r="R359" s="1"/>
      <c r="S359" s="109"/>
      <c r="T359" s="1"/>
      <c r="U359" s="1"/>
      <c r="V359" s="1"/>
      <c r="W359" s="290"/>
      <c r="X359" s="1"/>
      <c r="Y359" s="48"/>
      <c r="Z359" s="1"/>
      <c r="AA359" s="1"/>
      <c r="AB359" s="1"/>
      <c r="AC359" s="1"/>
      <c r="AD359" s="1"/>
      <c r="AE359" s="1"/>
    </row>
    <row r="360" spans="1:31" ht="15.75" customHeight="1">
      <c r="A360" s="1"/>
      <c r="B360" s="1"/>
      <c r="C360" s="2"/>
      <c r="D360" s="1"/>
      <c r="E360" s="213">
        <f>SUM(E358,-E357)</f>
        <v>2.9103830456733704E-11</v>
      </c>
      <c r="F360" s="1"/>
      <c r="G360" s="214">
        <f>SUM(G358,-G357)</f>
        <v>284108.72999999992</v>
      </c>
      <c r="H360" s="1"/>
      <c r="I360" s="1"/>
      <c r="J360" s="1"/>
      <c r="K360" s="1"/>
      <c r="L360" s="1"/>
      <c r="M360" s="1"/>
      <c r="N360" s="1"/>
      <c r="O360" s="3"/>
      <c r="P360" s="1"/>
      <c r="Q360" s="1"/>
      <c r="R360" s="1"/>
      <c r="S360" s="214">
        <f>SUM(S358,-S357)</f>
        <v>284108.72999999992</v>
      </c>
      <c r="T360" s="1"/>
      <c r="U360" s="1"/>
      <c r="V360" s="1"/>
      <c r="W360" s="290"/>
      <c r="X360" s="1"/>
      <c r="Y360" s="48"/>
      <c r="Z360" s="1"/>
      <c r="AA360" s="1"/>
      <c r="AB360" s="1"/>
      <c r="AC360" s="1"/>
      <c r="AD360" s="1"/>
      <c r="AE360" s="1"/>
    </row>
    <row r="361" spans="1:31" ht="12.75" customHeight="1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3"/>
      <c r="P361" s="1"/>
      <c r="Q361" s="1"/>
      <c r="R361" s="1"/>
      <c r="S361" s="1"/>
      <c r="T361" s="1"/>
      <c r="U361" s="1"/>
      <c r="V361" s="1"/>
      <c r="W361" s="290"/>
      <c r="X361" s="1"/>
      <c r="Y361" s="48"/>
      <c r="Z361" s="1"/>
      <c r="AA361" s="1"/>
      <c r="AB361" s="1"/>
      <c r="AC361" s="1"/>
      <c r="AD361" s="1"/>
      <c r="AE361" s="1"/>
    </row>
    <row r="362" spans="1:31" ht="12.75" customHeight="1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3"/>
      <c r="P362" s="1"/>
      <c r="Q362" s="1"/>
      <c r="R362" s="1"/>
      <c r="S362" s="1"/>
      <c r="T362" s="1"/>
      <c r="U362" s="1"/>
      <c r="V362" s="1"/>
      <c r="W362" s="290"/>
      <c r="X362" s="1"/>
      <c r="Y362" s="48"/>
      <c r="Z362" s="1"/>
      <c r="AA362" s="1"/>
      <c r="AB362" s="1"/>
      <c r="AC362" s="1"/>
      <c r="AD362" s="1"/>
      <c r="AE362" s="1"/>
    </row>
    <row r="363" spans="1:31" ht="12.75" customHeight="1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3"/>
      <c r="P363" s="1"/>
      <c r="Q363" s="1"/>
      <c r="R363" s="1"/>
      <c r="S363" s="1"/>
      <c r="T363" s="1"/>
      <c r="U363" s="1"/>
      <c r="V363" s="1"/>
      <c r="W363" s="290"/>
      <c r="X363" s="1"/>
      <c r="Y363" s="48"/>
      <c r="Z363" s="1"/>
      <c r="AA363" s="1"/>
      <c r="AB363" s="1"/>
      <c r="AC363" s="1"/>
      <c r="AD363" s="1"/>
      <c r="AE363" s="1"/>
    </row>
    <row r="364" spans="1:31" ht="12.75" customHeight="1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3"/>
      <c r="P364" s="1"/>
      <c r="Q364" s="1"/>
      <c r="R364" s="1"/>
      <c r="S364" s="1"/>
      <c r="T364" s="1"/>
      <c r="U364" s="1"/>
      <c r="V364" s="1"/>
      <c r="W364" s="290"/>
      <c r="X364" s="1"/>
      <c r="Y364" s="48"/>
      <c r="Z364" s="1"/>
      <c r="AA364" s="1"/>
      <c r="AB364" s="1"/>
      <c r="AC364" s="1"/>
      <c r="AD364" s="1"/>
      <c r="AE364" s="1"/>
    </row>
    <row r="365" spans="1:31" ht="12.75" customHeight="1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3"/>
      <c r="P365" s="1"/>
      <c r="Q365" s="1"/>
      <c r="R365" s="1"/>
      <c r="S365" s="1"/>
      <c r="T365" s="1"/>
      <c r="U365" s="1"/>
      <c r="V365" s="1"/>
      <c r="W365" s="290"/>
      <c r="X365" s="1"/>
      <c r="Y365" s="48"/>
      <c r="Z365" s="1"/>
      <c r="AA365" s="1"/>
      <c r="AB365" s="1"/>
      <c r="AC365" s="1"/>
      <c r="AD365" s="1"/>
      <c r="AE365" s="1"/>
    </row>
    <row r="366" spans="1:31" ht="12.75" customHeight="1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3"/>
      <c r="P366" s="1"/>
      <c r="Q366" s="1"/>
      <c r="R366" s="1"/>
      <c r="S366" s="1"/>
      <c r="T366" s="1"/>
      <c r="U366" s="1"/>
      <c r="V366" s="1"/>
      <c r="W366" s="290"/>
      <c r="X366" s="1"/>
      <c r="Y366" s="48"/>
      <c r="Z366" s="1"/>
      <c r="AA366" s="1"/>
      <c r="AB366" s="1"/>
      <c r="AC366" s="1"/>
      <c r="AD366" s="1"/>
      <c r="AE366" s="1"/>
    </row>
    <row r="367" spans="1:31" ht="12.75" customHeight="1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3"/>
      <c r="P367" s="1"/>
      <c r="Q367" s="1"/>
      <c r="R367" s="1"/>
      <c r="S367" s="1"/>
      <c r="T367" s="1"/>
      <c r="U367" s="1"/>
      <c r="V367" s="1"/>
      <c r="W367" s="290"/>
      <c r="X367" s="1"/>
      <c r="Y367" s="48"/>
      <c r="Z367" s="1"/>
      <c r="AA367" s="1"/>
      <c r="AB367" s="1"/>
      <c r="AC367" s="1"/>
      <c r="AD367" s="1"/>
      <c r="AE367" s="1"/>
    </row>
    <row r="368" spans="1:31" ht="12.75" customHeight="1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3"/>
      <c r="P368" s="1"/>
      <c r="Q368" s="1"/>
      <c r="R368" s="1"/>
      <c r="S368" s="1"/>
      <c r="T368" s="1"/>
      <c r="U368" s="1"/>
      <c r="V368" s="1"/>
      <c r="W368" s="290"/>
      <c r="X368" s="1"/>
      <c r="Y368" s="48"/>
      <c r="Z368" s="1"/>
      <c r="AA368" s="1"/>
      <c r="AB368" s="1"/>
      <c r="AC368" s="1"/>
      <c r="AD368" s="1"/>
      <c r="AE368" s="1"/>
    </row>
    <row r="369" spans="1:31" ht="30" customHeight="1">
      <c r="A369" s="1"/>
      <c r="B369" s="1"/>
      <c r="C369" s="2"/>
      <c r="D369" s="1"/>
      <c r="E369" s="215"/>
      <c r="F369" s="1"/>
      <c r="G369" s="1"/>
      <c r="H369" s="1"/>
      <c r="I369" s="1"/>
      <c r="J369" s="1"/>
      <c r="K369" s="1"/>
      <c r="L369" s="1"/>
      <c r="M369" s="1"/>
      <c r="N369" s="1"/>
      <c r="O369" s="3"/>
      <c r="P369" s="1"/>
      <c r="Q369" s="1"/>
      <c r="R369" s="1"/>
      <c r="S369" s="1"/>
      <c r="T369" s="1"/>
      <c r="U369" s="1"/>
      <c r="V369" s="1"/>
      <c r="W369" s="290"/>
      <c r="X369" s="1"/>
      <c r="Y369" s="48"/>
      <c r="Z369" s="1"/>
      <c r="AA369" s="1"/>
      <c r="AB369" s="1"/>
      <c r="AC369" s="1"/>
      <c r="AD369" s="1"/>
      <c r="AE369" s="1"/>
    </row>
    <row r="370" spans="1:31" ht="12.75" customHeight="1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3"/>
      <c r="P370" s="1"/>
      <c r="Q370" s="1"/>
      <c r="R370" s="1"/>
      <c r="S370" s="1"/>
      <c r="T370" s="1"/>
      <c r="U370" s="1"/>
      <c r="V370" s="1"/>
      <c r="W370" s="290"/>
      <c r="X370" s="1"/>
      <c r="Y370" s="48"/>
      <c r="Z370" s="1"/>
      <c r="AA370" s="1"/>
      <c r="AB370" s="1"/>
      <c r="AC370" s="1"/>
      <c r="AD370" s="1"/>
      <c r="AE370" s="1"/>
    </row>
    <row r="371" spans="1:31" ht="12.75" customHeight="1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3"/>
      <c r="P371" s="1"/>
      <c r="Q371" s="1"/>
      <c r="R371" s="1"/>
      <c r="S371" s="1"/>
      <c r="T371" s="1"/>
      <c r="U371" s="1"/>
      <c r="V371" s="1"/>
      <c r="W371" s="290"/>
      <c r="X371" s="1"/>
      <c r="Y371" s="1"/>
      <c r="Z371" s="1"/>
      <c r="AA371" s="1"/>
      <c r="AB371" s="1"/>
      <c r="AC371" s="1"/>
      <c r="AD371" s="1"/>
      <c r="AE371" s="1"/>
    </row>
    <row r="372" spans="1:31" ht="15.75" customHeight="1">
      <c r="C372" s="88"/>
      <c r="O372" s="89"/>
    </row>
    <row r="373" spans="1:31" ht="15.75" customHeight="1">
      <c r="C373" s="88"/>
      <c r="O373" s="89"/>
    </row>
    <row r="374" spans="1:31" ht="15.75" customHeight="1">
      <c r="C374" s="88"/>
      <c r="O374" s="89"/>
    </row>
    <row r="375" spans="1:31" ht="15.75" customHeight="1">
      <c r="C375" s="88"/>
      <c r="O375" s="89"/>
    </row>
    <row r="376" spans="1:31" ht="15.75" customHeight="1">
      <c r="C376" s="88"/>
      <c r="O376" s="89"/>
    </row>
    <row r="377" spans="1:31" ht="15.75" customHeight="1">
      <c r="C377" s="88"/>
      <c r="O377" s="89"/>
    </row>
    <row r="378" spans="1:31" ht="15.75" customHeight="1">
      <c r="C378" s="88"/>
      <c r="O378" s="89"/>
    </row>
    <row r="379" spans="1:31" ht="15.75" customHeight="1">
      <c r="C379" s="88"/>
      <c r="O379" s="89"/>
    </row>
    <row r="380" spans="1:31" ht="15.75" customHeight="1">
      <c r="C380" s="88"/>
      <c r="O380" s="89"/>
    </row>
    <row r="381" spans="1:31" ht="15.75" customHeight="1">
      <c r="C381" s="88"/>
      <c r="O381" s="89"/>
    </row>
    <row r="382" spans="1:31" ht="15.75" customHeight="1">
      <c r="C382" s="88"/>
      <c r="O382" s="89"/>
    </row>
    <row r="383" spans="1:31" ht="15.75" customHeight="1">
      <c r="C383" s="88"/>
      <c r="O383" s="89"/>
    </row>
    <row r="384" spans="1:31" ht="15.75" customHeight="1">
      <c r="C384" s="88"/>
      <c r="O384" s="89"/>
    </row>
    <row r="385" spans="3:15" ht="15.75" customHeight="1">
      <c r="C385" s="88"/>
      <c r="O385" s="89"/>
    </row>
    <row r="386" spans="3:15" ht="15.75" customHeight="1">
      <c r="C386" s="88"/>
      <c r="O386" s="89"/>
    </row>
    <row r="387" spans="3:15" ht="15.75" customHeight="1">
      <c r="C387" s="88"/>
      <c r="O387" s="89"/>
    </row>
    <row r="388" spans="3:15" ht="15.75" customHeight="1">
      <c r="C388" s="88"/>
      <c r="O388" s="89"/>
    </row>
    <row r="389" spans="3:15" ht="15.75" customHeight="1">
      <c r="C389" s="88"/>
      <c r="O389" s="89"/>
    </row>
    <row r="390" spans="3:15" ht="15.75" customHeight="1">
      <c r="C390" s="88"/>
      <c r="O390" s="89"/>
    </row>
    <row r="391" spans="3:15" ht="15.75" customHeight="1">
      <c r="C391" s="88"/>
      <c r="O391" s="89"/>
    </row>
    <row r="392" spans="3:15" ht="15.75" customHeight="1">
      <c r="C392" s="88"/>
      <c r="O392" s="89"/>
    </row>
    <row r="393" spans="3:15" ht="15.75" customHeight="1">
      <c r="C393" s="88"/>
      <c r="O393" s="89"/>
    </row>
    <row r="394" spans="3:15" ht="15.75" customHeight="1">
      <c r="C394" s="88"/>
      <c r="O394" s="89"/>
    </row>
    <row r="395" spans="3:15" ht="15.75" customHeight="1">
      <c r="C395" s="88"/>
      <c r="O395" s="89"/>
    </row>
    <row r="396" spans="3:15" ht="15.75" customHeight="1">
      <c r="C396" s="88"/>
      <c r="O396" s="89"/>
    </row>
    <row r="397" spans="3:15" ht="15.75" customHeight="1">
      <c r="C397" s="88"/>
      <c r="O397" s="89"/>
    </row>
    <row r="398" spans="3:15" ht="15.75" customHeight="1">
      <c r="C398" s="88"/>
      <c r="O398" s="89"/>
    </row>
    <row r="399" spans="3:15" ht="15.75" customHeight="1">
      <c r="C399" s="88"/>
      <c r="O399" s="89"/>
    </row>
    <row r="400" spans="3:15" ht="15.75" customHeight="1">
      <c r="C400" s="88"/>
      <c r="O400" s="89"/>
    </row>
    <row r="401" spans="3:15" ht="15.75" customHeight="1">
      <c r="C401" s="88"/>
      <c r="O401" s="89"/>
    </row>
    <row r="402" spans="3:15" ht="15.75" customHeight="1">
      <c r="C402" s="88"/>
      <c r="O402" s="89"/>
    </row>
    <row r="403" spans="3:15" ht="15.75" customHeight="1">
      <c r="C403" s="88"/>
      <c r="O403" s="89"/>
    </row>
    <row r="404" spans="3:15" ht="15.75" customHeight="1">
      <c r="C404" s="88"/>
      <c r="O404" s="89"/>
    </row>
    <row r="405" spans="3:15" ht="15.75" customHeight="1">
      <c r="C405" s="88"/>
      <c r="O405" s="89"/>
    </row>
    <row r="406" spans="3:15" ht="15.75" customHeight="1">
      <c r="C406" s="88"/>
      <c r="O406" s="89"/>
    </row>
    <row r="407" spans="3:15" ht="15.75" customHeight="1">
      <c r="C407" s="88"/>
      <c r="O407" s="89"/>
    </row>
    <row r="408" spans="3:15" ht="15.75" customHeight="1">
      <c r="C408" s="88"/>
      <c r="O408" s="89"/>
    </row>
    <row r="409" spans="3:15" ht="15.75" customHeight="1">
      <c r="C409" s="88"/>
      <c r="O409" s="89"/>
    </row>
    <row r="410" spans="3:15" ht="15.75" customHeight="1">
      <c r="C410" s="88"/>
      <c r="O410" s="89"/>
    </row>
    <row r="411" spans="3:15" ht="15.75" customHeight="1">
      <c r="C411" s="88"/>
      <c r="O411" s="89"/>
    </row>
    <row r="412" spans="3:15" ht="15.75" customHeight="1">
      <c r="C412" s="88"/>
      <c r="O412" s="89"/>
    </row>
    <row r="413" spans="3:15" ht="15.75" customHeight="1">
      <c r="C413" s="88"/>
      <c r="O413" s="89"/>
    </row>
    <row r="414" spans="3:15" ht="15.75" customHeight="1">
      <c r="C414" s="88"/>
      <c r="O414" s="89"/>
    </row>
    <row r="415" spans="3:15" ht="15.75" customHeight="1">
      <c r="C415" s="88"/>
      <c r="O415" s="89"/>
    </row>
    <row r="416" spans="3:15" ht="15.75" customHeight="1">
      <c r="C416" s="88"/>
      <c r="O416" s="89"/>
    </row>
    <row r="417" spans="3:15" ht="15.75" customHeight="1">
      <c r="C417" s="88"/>
      <c r="O417" s="89"/>
    </row>
    <row r="418" spans="3:15" ht="15.75" customHeight="1">
      <c r="C418" s="88"/>
      <c r="O418" s="89"/>
    </row>
    <row r="419" spans="3:15" ht="15.75" customHeight="1">
      <c r="C419" s="88"/>
      <c r="O419" s="89"/>
    </row>
    <row r="420" spans="3:15" ht="15.75" customHeight="1">
      <c r="C420" s="88"/>
      <c r="O420" s="89"/>
    </row>
    <row r="421" spans="3:15" ht="15.75" customHeight="1">
      <c r="C421" s="88"/>
      <c r="O421" s="89"/>
    </row>
    <row r="422" spans="3:15" ht="15.75" customHeight="1">
      <c r="C422" s="88"/>
      <c r="O422" s="89"/>
    </row>
    <row r="423" spans="3:15" ht="15.75" customHeight="1">
      <c r="C423" s="88"/>
      <c r="O423" s="89"/>
    </row>
    <row r="424" spans="3:15" ht="15.75" customHeight="1">
      <c r="C424" s="88"/>
      <c r="O424" s="89"/>
    </row>
    <row r="425" spans="3:15" ht="15.75" customHeight="1">
      <c r="C425" s="88"/>
      <c r="O425" s="89"/>
    </row>
    <row r="426" spans="3:15" ht="15.75" customHeight="1">
      <c r="C426" s="88"/>
      <c r="O426" s="89"/>
    </row>
    <row r="427" spans="3:15" ht="15.75" customHeight="1">
      <c r="C427" s="88"/>
      <c r="O427" s="89"/>
    </row>
    <row r="428" spans="3:15" ht="15.75" customHeight="1">
      <c r="C428" s="88"/>
      <c r="O428" s="89"/>
    </row>
    <row r="429" spans="3:15" ht="15.75" customHeight="1">
      <c r="C429" s="88"/>
      <c r="O429" s="89"/>
    </row>
    <row r="430" spans="3:15" ht="15.75" customHeight="1">
      <c r="C430" s="88"/>
      <c r="O430" s="89"/>
    </row>
    <row r="431" spans="3:15" ht="15.75" customHeight="1">
      <c r="C431" s="88"/>
      <c r="O431" s="89"/>
    </row>
    <row r="432" spans="3:15" ht="15.75" customHeight="1">
      <c r="C432" s="88"/>
      <c r="O432" s="89"/>
    </row>
    <row r="433" spans="3:15" ht="15.75" customHeight="1">
      <c r="C433" s="88"/>
      <c r="O433" s="89"/>
    </row>
    <row r="434" spans="3:15" ht="15.75" customHeight="1">
      <c r="C434" s="88"/>
      <c r="O434" s="89"/>
    </row>
    <row r="435" spans="3:15" ht="15.75" customHeight="1">
      <c r="C435" s="88"/>
      <c r="O435" s="89"/>
    </row>
    <row r="436" spans="3:15" ht="15.75" customHeight="1">
      <c r="C436" s="88"/>
      <c r="O436" s="89"/>
    </row>
    <row r="437" spans="3:15" ht="15.75" customHeight="1">
      <c r="C437" s="88"/>
      <c r="O437" s="89"/>
    </row>
    <row r="438" spans="3:15" ht="15.75" customHeight="1">
      <c r="C438" s="88"/>
      <c r="O438" s="89"/>
    </row>
    <row r="439" spans="3:15" ht="15.75" customHeight="1">
      <c r="C439" s="88"/>
      <c r="O439" s="89"/>
    </row>
    <row r="440" spans="3:15" ht="15.75" customHeight="1">
      <c r="C440" s="88"/>
      <c r="O440" s="89"/>
    </row>
    <row r="441" spans="3:15" ht="15.75" customHeight="1">
      <c r="C441" s="88"/>
      <c r="O441" s="89"/>
    </row>
    <row r="442" spans="3:15" ht="15.75" customHeight="1">
      <c r="C442" s="88"/>
      <c r="O442" s="89"/>
    </row>
    <row r="443" spans="3:15" ht="15.75" customHeight="1">
      <c r="C443" s="88"/>
      <c r="O443" s="89"/>
    </row>
    <row r="444" spans="3:15" ht="15.75" customHeight="1">
      <c r="C444" s="88"/>
      <c r="O444" s="89"/>
    </row>
    <row r="445" spans="3:15" ht="15.75" customHeight="1">
      <c r="C445" s="88"/>
      <c r="O445" s="89"/>
    </row>
    <row r="446" spans="3:15" ht="15.75" customHeight="1">
      <c r="C446" s="88"/>
      <c r="O446" s="89"/>
    </row>
    <row r="447" spans="3:15" ht="15.75" customHeight="1">
      <c r="C447" s="88"/>
      <c r="O447" s="89"/>
    </row>
    <row r="448" spans="3:15" ht="15.75" customHeight="1">
      <c r="C448" s="88"/>
      <c r="O448" s="89"/>
    </row>
    <row r="449" spans="3:15" ht="15.75" customHeight="1">
      <c r="C449" s="88"/>
      <c r="O449" s="89"/>
    </row>
    <row r="450" spans="3:15" ht="15.75" customHeight="1">
      <c r="C450" s="88"/>
      <c r="O450" s="89"/>
    </row>
    <row r="451" spans="3:15" ht="15.75" customHeight="1">
      <c r="C451" s="88"/>
      <c r="O451" s="89"/>
    </row>
    <row r="452" spans="3:15" ht="15.75" customHeight="1">
      <c r="C452" s="88"/>
      <c r="O452" s="89"/>
    </row>
    <row r="453" spans="3:15" ht="15.75" customHeight="1">
      <c r="C453" s="88"/>
      <c r="O453" s="89"/>
    </row>
    <row r="454" spans="3:15" ht="15.75" customHeight="1">
      <c r="C454" s="88"/>
      <c r="O454" s="89"/>
    </row>
    <row r="455" spans="3:15" ht="15.75" customHeight="1">
      <c r="C455" s="88"/>
      <c r="O455" s="89"/>
    </row>
    <row r="456" spans="3:15" ht="15.75" customHeight="1">
      <c r="C456" s="88"/>
      <c r="O456" s="89"/>
    </row>
    <row r="457" spans="3:15" ht="15.75" customHeight="1">
      <c r="C457" s="88"/>
      <c r="O457" s="89"/>
    </row>
    <row r="458" spans="3:15" ht="15.75" customHeight="1">
      <c r="C458" s="88"/>
      <c r="O458" s="89"/>
    </row>
    <row r="459" spans="3:15" ht="15.75" customHeight="1">
      <c r="C459" s="88"/>
      <c r="O459" s="89"/>
    </row>
    <row r="460" spans="3:15" ht="15.75" customHeight="1">
      <c r="C460" s="88"/>
      <c r="O460" s="89"/>
    </row>
    <row r="461" spans="3:15" ht="15.75" customHeight="1">
      <c r="C461" s="88"/>
      <c r="O461" s="89"/>
    </row>
    <row r="462" spans="3:15" ht="15.75" customHeight="1">
      <c r="C462" s="88"/>
      <c r="O462" s="89"/>
    </row>
    <row r="463" spans="3:15" ht="15.75" customHeight="1">
      <c r="C463" s="88"/>
      <c r="O463" s="89"/>
    </row>
    <row r="464" spans="3:15" ht="15.75" customHeight="1">
      <c r="C464" s="88"/>
      <c r="O464" s="89"/>
    </row>
    <row r="465" spans="3:15" ht="15.75" customHeight="1">
      <c r="C465" s="88"/>
      <c r="O465" s="89"/>
    </row>
    <row r="466" spans="3:15" ht="15.75" customHeight="1">
      <c r="C466" s="88"/>
      <c r="O466" s="89"/>
    </row>
    <row r="467" spans="3:15" ht="15.75" customHeight="1">
      <c r="C467" s="88"/>
      <c r="O467" s="89"/>
    </row>
    <row r="468" spans="3:15" ht="15.75" customHeight="1">
      <c r="C468" s="88"/>
      <c r="O468" s="89"/>
    </row>
    <row r="469" spans="3:15" ht="15.75" customHeight="1">
      <c r="C469" s="88"/>
      <c r="O469" s="89"/>
    </row>
    <row r="470" spans="3:15" ht="15.75" customHeight="1">
      <c r="C470" s="88"/>
      <c r="O470" s="89"/>
    </row>
    <row r="471" spans="3:15" ht="15.75" customHeight="1">
      <c r="C471" s="88"/>
      <c r="O471" s="89"/>
    </row>
    <row r="472" spans="3:15" ht="15.75" customHeight="1">
      <c r="C472" s="88"/>
      <c r="O472" s="89"/>
    </row>
    <row r="473" spans="3:15" ht="15.75" customHeight="1">
      <c r="C473" s="88"/>
      <c r="O473" s="89"/>
    </row>
    <row r="474" spans="3:15" ht="15.75" customHeight="1">
      <c r="C474" s="88"/>
      <c r="O474" s="89"/>
    </row>
    <row r="475" spans="3:15" ht="15.75" customHeight="1">
      <c r="C475" s="88"/>
      <c r="O475" s="89"/>
    </row>
    <row r="476" spans="3:15" ht="15.75" customHeight="1">
      <c r="C476" s="88"/>
      <c r="O476" s="89"/>
    </row>
    <row r="477" spans="3:15" ht="15.75" customHeight="1">
      <c r="C477" s="88"/>
      <c r="O477" s="89"/>
    </row>
    <row r="478" spans="3:15" ht="15.75" customHeight="1">
      <c r="C478" s="88"/>
      <c r="O478" s="89"/>
    </row>
    <row r="479" spans="3:15" ht="15.75" customHeight="1">
      <c r="C479" s="88"/>
      <c r="O479" s="89"/>
    </row>
    <row r="480" spans="3:15" ht="15.75" customHeight="1">
      <c r="C480" s="88"/>
      <c r="O480" s="89"/>
    </row>
    <row r="481" spans="3:15" ht="15.75" customHeight="1">
      <c r="C481" s="88"/>
      <c r="O481" s="89"/>
    </row>
    <row r="482" spans="3:15" ht="15.75" customHeight="1">
      <c r="C482" s="88"/>
      <c r="O482" s="89"/>
    </row>
    <row r="483" spans="3:15" ht="15.75" customHeight="1">
      <c r="C483" s="88"/>
      <c r="O483" s="89"/>
    </row>
    <row r="484" spans="3:15" ht="15.75" customHeight="1">
      <c r="C484" s="88"/>
      <c r="O484" s="89"/>
    </row>
    <row r="485" spans="3:15" ht="15.75" customHeight="1">
      <c r="C485" s="88"/>
      <c r="O485" s="89"/>
    </row>
    <row r="486" spans="3:15" ht="15.75" customHeight="1">
      <c r="C486" s="88"/>
      <c r="O486" s="89"/>
    </row>
    <row r="487" spans="3:15" ht="15.75" customHeight="1">
      <c r="C487" s="88"/>
      <c r="O487" s="89"/>
    </row>
    <row r="488" spans="3:15" ht="15.75" customHeight="1">
      <c r="C488" s="88"/>
      <c r="O488" s="89"/>
    </row>
    <row r="489" spans="3:15" ht="15.75" customHeight="1">
      <c r="C489" s="88"/>
      <c r="O489" s="89"/>
    </row>
    <row r="490" spans="3:15" ht="15.75" customHeight="1">
      <c r="C490" s="88"/>
      <c r="O490" s="89"/>
    </row>
    <row r="491" spans="3:15" ht="15.75" customHeight="1">
      <c r="C491" s="88"/>
      <c r="O491" s="89"/>
    </row>
    <row r="492" spans="3:15" ht="15.75" customHeight="1">
      <c r="C492" s="88"/>
      <c r="O492" s="89"/>
    </row>
    <row r="493" spans="3:15" ht="15.75" customHeight="1">
      <c r="C493" s="88"/>
      <c r="O493" s="89"/>
    </row>
    <row r="494" spans="3:15" ht="15.75" customHeight="1">
      <c r="C494" s="88"/>
      <c r="O494" s="89"/>
    </row>
    <row r="495" spans="3:15" ht="15.75" customHeight="1">
      <c r="C495" s="88"/>
      <c r="O495" s="89"/>
    </row>
    <row r="496" spans="3:15" ht="15.75" customHeight="1">
      <c r="C496" s="88"/>
      <c r="O496" s="89"/>
    </row>
    <row r="497" spans="3:15" ht="15.75" customHeight="1">
      <c r="C497" s="88"/>
      <c r="O497" s="89"/>
    </row>
    <row r="498" spans="3:15" ht="15.75" customHeight="1">
      <c r="C498" s="88"/>
      <c r="O498" s="89"/>
    </row>
    <row r="499" spans="3:15" ht="15.75" customHeight="1">
      <c r="C499" s="88"/>
      <c r="O499" s="89"/>
    </row>
    <row r="500" spans="3:15" ht="15.75" customHeight="1">
      <c r="C500" s="88"/>
      <c r="O500" s="89"/>
    </row>
    <row r="501" spans="3:15" ht="15.75" customHeight="1">
      <c r="C501" s="88"/>
      <c r="O501" s="89"/>
    </row>
    <row r="502" spans="3:15" ht="15.75" customHeight="1">
      <c r="C502" s="88"/>
      <c r="O502" s="89"/>
    </row>
    <row r="503" spans="3:15" ht="15.75" customHeight="1">
      <c r="C503" s="88"/>
      <c r="O503" s="89"/>
    </row>
    <row r="504" spans="3:15" ht="15.75" customHeight="1">
      <c r="C504" s="88"/>
      <c r="O504" s="89"/>
    </row>
    <row r="505" spans="3:15" ht="15.75" customHeight="1">
      <c r="C505" s="88"/>
      <c r="O505" s="89"/>
    </row>
    <row r="506" spans="3:15" ht="15.75" customHeight="1">
      <c r="C506" s="88"/>
      <c r="O506" s="89"/>
    </row>
    <row r="507" spans="3:15" ht="15.75" customHeight="1">
      <c r="C507" s="88"/>
      <c r="O507" s="89"/>
    </row>
    <row r="508" spans="3:15" ht="15.75" customHeight="1">
      <c r="C508" s="88"/>
      <c r="O508" s="89"/>
    </row>
    <row r="509" spans="3:15" ht="15.75" customHeight="1">
      <c r="C509" s="88"/>
      <c r="O509" s="89"/>
    </row>
    <row r="510" spans="3:15" ht="15.75" customHeight="1">
      <c r="C510" s="88"/>
      <c r="O510" s="89"/>
    </row>
    <row r="511" spans="3:15" ht="15.75" customHeight="1">
      <c r="C511" s="88"/>
      <c r="O511" s="89"/>
    </row>
    <row r="512" spans="3:15" ht="15.75" customHeight="1">
      <c r="C512" s="88"/>
      <c r="O512" s="89"/>
    </row>
    <row r="513" spans="3:15" ht="15.75" customHeight="1">
      <c r="C513" s="88"/>
      <c r="O513" s="89"/>
    </row>
    <row r="514" spans="3:15" ht="15.75" customHeight="1">
      <c r="C514" s="88"/>
      <c r="O514" s="89"/>
    </row>
    <row r="515" spans="3:15" ht="15.75" customHeight="1">
      <c r="C515" s="88"/>
      <c r="O515" s="89"/>
    </row>
    <row r="516" spans="3:15" ht="15.75" customHeight="1">
      <c r="C516" s="88"/>
      <c r="O516" s="89"/>
    </row>
    <row r="517" spans="3:15" ht="15.75" customHeight="1">
      <c r="C517" s="88"/>
      <c r="O517" s="89"/>
    </row>
    <row r="518" spans="3:15" ht="15.75" customHeight="1">
      <c r="C518" s="88"/>
      <c r="O518" s="89"/>
    </row>
    <row r="519" spans="3:15" ht="15.75" customHeight="1">
      <c r="C519" s="88"/>
      <c r="O519" s="89"/>
    </row>
    <row r="520" spans="3:15" ht="15.75" customHeight="1">
      <c r="C520" s="88"/>
      <c r="O520" s="89"/>
    </row>
    <row r="521" spans="3:15" ht="15.75" customHeight="1">
      <c r="C521" s="88"/>
      <c r="O521" s="89"/>
    </row>
    <row r="522" spans="3:15" ht="15.75" customHeight="1">
      <c r="C522" s="88"/>
      <c r="O522" s="89"/>
    </row>
    <row r="523" spans="3:15" ht="15.75" customHeight="1">
      <c r="C523" s="88"/>
      <c r="O523" s="89"/>
    </row>
    <row r="524" spans="3:15" ht="15.75" customHeight="1">
      <c r="C524" s="88"/>
      <c r="O524" s="89"/>
    </row>
    <row r="525" spans="3:15" ht="15.75" customHeight="1">
      <c r="C525" s="88"/>
      <c r="O525" s="89"/>
    </row>
    <row r="526" spans="3:15" ht="15.75" customHeight="1">
      <c r="C526" s="88"/>
      <c r="O526" s="89"/>
    </row>
    <row r="527" spans="3:15" ht="15.75" customHeight="1">
      <c r="C527" s="88"/>
      <c r="O527" s="89"/>
    </row>
    <row r="528" spans="3:15" ht="15.75" customHeight="1">
      <c r="C528" s="88"/>
      <c r="O528" s="89"/>
    </row>
    <row r="529" spans="3:15" ht="15.75" customHeight="1">
      <c r="C529" s="88"/>
      <c r="O529" s="89"/>
    </row>
    <row r="530" spans="3:15" ht="15.75" customHeight="1">
      <c r="C530" s="88"/>
      <c r="O530" s="89"/>
    </row>
    <row r="531" spans="3:15" ht="15.75" customHeight="1">
      <c r="C531" s="88"/>
      <c r="O531" s="89"/>
    </row>
    <row r="532" spans="3:15" ht="15.75" customHeight="1">
      <c r="C532" s="88"/>
      <c r="O532" s="89"/>
    </row>
    <row r="533" spans="3:15" ht="15.75" customHeight="1">
      <c r="C533" s="88"/>
      <c r="O533" s="89"/>
    </row>
    <row r="534" spans="3:15" ht="15.75" customHeight="1">
      <c r="C534" s="88"/>
      <c r="O534" s="89"/>
    </row>
    <row r="535" spans="3:15" ht="15.75" customHeight="1">
      <c r="C535" s="88"/>
      <c r="O535" s="89"/>
    </row>
    <row r="536" spans="3:15" ht="15.75" customHeight="1">
      <c r="C536" s="88"/>
      <c r="O536" s="89"/>
    </row>
    <row r="537" spans="3:15" ht="15.75" customHeight="1">
      <c r="C537" s="88"/>
      <c r="O537" s="89"/>
    </row>
    <row r="538" spans="3:15" ht="15.75" customHeight="1">
      <c r="C538" s="88"/>
      <c r="O538" s="89"/>
    </row>
    <row r="539" spans="3:15" ht="15.75" customHeight="1">
      <c r="C539" s="88"/>
      <c r="O539" s="89"/>
    </row>
    <row r="540" spans="3:15" ht="15.75" customHeight="1">
      <c r="C540" s="88"/>
      <c r="O540" s="89"/>
    </row>
    <row r="541" spans="3:15" ht="15.75" customHeight="1">
      <c r="C541" s="88"/>
      <c r="O541" s="89"/>
    </row>
    <row r="542" spans="3:15" ht="15.75" customHeight="1">
      <c r="C542" s="88"/>
      <c r="O542" s="89"/>
    </row>
    <row r="543" spans="3:15" ht="15.75" customHeight="1">
      <c r="C543" s="88"/>
      <c r="O543" s="89"/>
    </row>
    <row r="544" spans="3:15" ht="15.75" customHeight="1">
      <c r="C544" s="88"/>
      <c r="O544" s="89"/>
    </row>
    <row r="545" spans="3:15" ht="15.75" customHeight="1">
      <c r="C545" s="88"/>
      <c r="O545" s="89"/>
    </row>
    <row r="546" spans="3:15" ht="15.75" customHeight="1">
      <c r="C546" s="88"/>
      <c r="O546" s="89"/>
    </row>
    <row r="547" spans="3:15" ht="15.75" customHeight="1">
      <c r="C547" s="88"/>
      <c r="O547" s="89"/>
    </row>
    <row r="548" spans="3:15" ht="15.75" customHeight="1">
      <c r="C548" s="88"/>
      <c r="O548" s="89"/>
    </row>
    <row r="549" spans="3:15" ht="15.75" customHeight="1">
      <c r="C549" s="88"/>
      <c r="O549" s="89"/>
    </row>
    <row r="550" spans="3:15" ht="15.75" customHeight="1">
      <c r="C550" s="88"/>
      <c r="O550" s="89"/>
    </row>
    <row r="551" spans="3:15" ht="15.75" customHeight="1">
      <c r="C551" s="88"/>
      <c r="O551" s="89"/>
    </row>
    <row r="552" spans="3:15" ht="15.75" customHeight="1">
      <c r="C552" s="88"/>
      <c r="O552" s="89"/>
    </row>
    <row r="553" spans="3:15" ht="15.75" customHeight="1">
      <c r="C553" s="88"/>
      <c r="O553" s="89"/>
    </row>
    <row r="554" spans="3:15" ht="15.75" customHeight="1">
      <c r="C554" s="88"/>
      <c r="O554" s="89"/>
    </row>
    <row r="555" spans="3:15" ht="15.75" customHeight="1">
      <c r="C555" s="88"/>
      <c r="O555" s="89"/>
    </row>
    <row r="556" spans="3:15" ht="15.75" customHeight="1">
      <c r="C556" s="88"/>
      <c r="O556" s="89"/>
    </row>
    <row r="557" spans="3:15" ht="15.75" customHeight="1">
      <c r="C557" s="88"/>
      <c r="O557" s="89"/>
    </row>
    <row r="558" spans="3:15" ht="15.75" customHeight="1">
      <c r="C558" s="88"/>
      <c r="O558" s="89"/>
    </row>
    <row r="559" spans="3:15" ht="15.75" customHeight="1">
      <c r="C559" s="88"/>
      <c r="O559" s="89"/>
    </row>
    <row r="560" spans="3:15" ht="15.75" customHeight="1">
      <c r="C560" s="88"/>
      <c r="O560" s="89"/>
    </row>
    <row r="561" spans="3:15" ht="15.75" customHeight="1">
      <c r="C561" s="88"/>
      <c r="O561" s="89"/>
    </row>
    <row r="562" spans="3:15" ht="15.75" customHeight="1">
      <c r="C562" s="88"/>
      <c r="O562" s="89"/>
    </row>
    <row r="563" spans="3:15" ht="15.75" customHeight="1">
      <c r="C563" s="88"/>
      <c r="O563" s="89"/>
    </row>
    <row r="564" spans="3:15" ht="15.75" customHeight="1">
      <c r="C564" s="88"/>
      <c r="O564" s="89"/>
    </row>
    <row r="565" spans="3:15" ht="15.75" customHeight="1">
      <c r="C565" s="88"/>
      <c r="O565" s="89"/>
    </row>
    <row r="566" spans="3:15" ht="15.75" customHeight="1">
      <c r="C566" s="88"/>
      <c r="O566" s="89"/>
    </row>
    <row r="567" spans="3:15" ht="15.75" customHeight="1">
      <c r="C567" s="88"/>
      <c r="O567" s="89"/>
    </row>
    <row r="568" spans="3:15" ht="15.75" customHeight="1">
      <c r="C568" s="88"/>
      <c r="O568" s="89"/>
    </row>
    <row r="569" spans="3:15" ht="15.75" customHeight="1">
      <c r="C569" s="88"/>
      <c r="O569" s="89"/>
    </row>
    <row r="570" spans="3:15" ht="15.75" customHeight="1">
      <c r="C570" s="88"/>
      <c r="O570" s="89"/>
    </row>
    <row r="571" spans="3:15" ht="15.75" customHeight="1">
      <c r="C571" s="88"/>
      <c r="O571" s="89"/>
    </row>
    <row r="572" spans="3:15" ht="15.75" customHeight="1">
      <c r="C572" s="88"/>
      <c r="O572" s="89"/>
    </row>
    <row r="573" spans="3:15" ht="15.75" customHeight="1">
      <c r="C573" s="88"/>
      <c r="O573" s="89"/>
    </row>
    <row r="574" spans="3:15" ht="15.75" customHeight="1">
      <c r="C574" s="88"/>
      <c r="O574" s="89"/>
    </row>
    <row r="575" spans="3:15" ht="15.75" customHeight="1">
      <c r="C575" s="88"/>
      <c r="O575" s="89"/>
    </row>
    <row r="576" spans="3:15" ht="15.75" customHeight="1">
      <c r="C576" s="88"/>
      <c r="O576" s="89"/>
    </row>
    <row r="577" spans="3:15" ht="15.75" customHeight="1">
      <c r="C577" s="88"/>
      <c r="O577" s="89"/>
    </row>
    <row r="578" spans="3:15" ht="15.75" customHeight="1">
      <c r="C578" s="88"/>
      <c r="O578" s="89"/>
    </row>
    <row r="579" spans="3:15" ht="15.75" customHeight="1">
      <c r="C579" s="88"/>
      <c r="O579" s="89"/>
    </row>
    <row r="580" spans="3:15" ht="15.75" customHeight="1">
      <c r="C580" s="88"/>
      <c r="O580" s="89"/>
    </row>
    <row r="581" spans="3:15" ht="15.75" customHeight="1">
      <c r="C581" s="88"/>
      <c r="O581" s="89"/>
    </row>
    <row r="582" spans="3:15" ht="15.75" customHeight="1">
      <c r="C582" s="88"/>
      <c r="O582" s="89"/>
    </row>
    <row r="583" spans="3:15" ht="15.75" customHeight="1">
      <c r="C583" s="88"/>
      <c r="O583" s="89"/>
    </row>
    <row r="584" spans="3:15" ht="15.75" customHeight="1">
      <c r="C584" s="88"/>
      <c r="O584" s="89"/>
    </row>
    <row r="585" spans="3:15" ht="15.75" customHeight="1">
      <c r="C585" s="88"/>
      <c r="O585" s="89"/>
    </row>
    <row r="586" spans="3:15" ht="15.75" customHeight="1">
      <c r="C586" s="88"/>
      <c r="O586" s="89"/>
    </row>
    <row r="587" spans="3:15" ht="15.75" customHeight="1">
      <c r="C587" s="88"/>
      <c r="O587" s="89"/>
    </row>
    <row r="588" spans="3:15" ht="15.75" customHeight="1">
      <c r="C588" s="88"/>
      <c r="O588" s="89"/>
    </row>
    <row r="589" spans="3:15" ht="15.75" customHeight="1">
      <c r="C589" s="88"/>
      <c r="O589" s="89"/>
    </row>
    <row r="590" spans="3:15" ht="15.75" customHeight="1">
      <c r="C590" s="88"/>
      <c r="O590" s="89"/>
    </row>
    <row r="591" spans="3:15" ht="15.75" customHeight="1">
      <c r="C591" s="88"/>
      <c r="O591" s="89"/>
    </row>
    <row r="592" spans="3:15" ht="15.75" customHeight="1">
      <c r="C592" s="88"/>
      <c r="O592" s="89"/>
    </row>
    <row r="593" spans="3:15" ht="15.75" customHeight="1">
      <c r="C593" s="88"/>
      <c r="O593" s="89"/>
    </row>
    <row r="594" spans="3:15" ht="15.75" customHeight="1">
      <c r="C594" s="88"/>
      <c r="O594" s="89"/>
    </row>
    <row r="595" spans="3:15" ht="15.75" customHeight="1">
      <c r="C595" s="88"/>
      <c r="O595" s="89"/>
    </row>
    <row r="596" spans="3:15" ht="15.75" customHeight="1">
      <c r="C596" s="88"/>
      <c r="O596" s="89"/>
    </row>
    <row r="597" spans="3:15" ht="15.75" customHeight="1">
      <c r="C597" s="88"/>
      <c r="O597" s="89"/>
    </row>
    <row r="598" spans="3:15" ht="15.75" customHeight="1">
      <c r="C598" s="88"/>
      <c r="O598" s="89"/>
    </row>
    <row r="599" spans="3:15" ht="15.75" customHeight="1">
      <c r="C599" s="88"/>
      <c r="O599" s="89"/>
    </row>
    <row r="600" spans="3:15" ht="15.75" customHeight="1">
      <c r="C600" s="88"/>
      <c r="O600" s="89"/>
    </row>
    <row r="601" spans="3:15" ht="15.75" customHeight="1">
      <c r="C601" s="88"/>
      <c r="O601" s="89"/>
    </row>
    <row r="602" spans="3:15" ht="15.75" customHeight="1">
      <c r="C602" s="88"/>
      <c r="O602" s="89"/>
    </row>
    <row r="603" spans="3:15" ht="15.75" customHeight="1">
      <c r="C603" s="88"/>
      <c r="O603" s="89"/>
    </row>
    <row r="604" spans="3:15" ht="15.75" customHeight="1">
      <c r="C604" s="88"/>
      <c r="O604" s="89"/>
    </row>
    <row r="605" spans="3:15" ht="15.75" customHeight="1">
      <c r="C605" s="88"/>
      <c r="O605" s="89"/>
    </row>
    <row r="606" spans="3:15" ht="15.75" customHeight="1">
      <c r="C606" s="88"/>
      <c r="O606" s="89"/>
    </row>
    <row r="607" spans="3:15" ht="15.75" customHeight="1">
      <c r="C607" s="88"/>
      <c r="O607" s="89"/>
    </row>
    <row r="608" spans="3:15" ht="15.75" customHeight="1">
      <c r="C608" s="88"/>
      <c r="O608" s="89"/>
    </row>
    <row r="609" spans="3:15" ht="15.75" customHeight="1">
      <c r="C609" s="88"/>
      <c r="O609" s="89"/>
    </row>
    <row r="610" spans="3:15" ht="15.75" customHeight="1">
      <c r="C610" s="88"/>
      <c r="O610" s="89"/>
    </row>
    <row r="611" spans="3:15" ht="15.75" customHeight="1">
      <c r="C611" s="88"/>
      <c r="O611" s="89"/>
    </row>
    <row r="612" spans="3:15" ht="15.75" customHeight="1">
      <c r="C612" s="88"/>
      <c r="O612" s="89"/>
    </row>
    <row r="613" spans="3:15" ht="15.75" customHeight="1">
      <c r="C613" s="88"/>
      <c r="O613" s="89"/>
    </row>
    <row r="614" spans="3:15" ht="15.75" customHeight="1">
      <c r="C614" s="88"/>
      <c r="O614" s="89"/>
    </row>
    <row r="615" spans="3:15" ht="15.75" customHeight="1">
      <c r="C615" s="88"/>
      <c r="O615" s="89"/>
    </row>
    <row r="616" spans="3:15" ht="15.75" customHeight="1">
      <c r="C616" s="88"/>
      <c r="O616" s="89"/>
    </row>
    <row r="617" spans="3:15" ht="15.75" customHeight="1">
      <c r="C617" s="88"/>
      <c r="O617" s="89"/>
    </row>
    <row r="618" spans="3:15" ht="15.75" customHeight="1">
      <c r="C618" s="88"/>
      <c r="O618" s="89"/>
    </row>
    <row r="619" spans="3:15" ht="15.75" customHeight="1">
      <c r="C619" s="88"/>
      <c r="O619" s="89"/>
    </row>
    <row r="620" spans="3:15" ht="15.75" customHeight="1">
      <c r="C620" s="88"/>
      <c r="O620" s="89"/>
    </row>
    <row r="621" spans="3:15" ht="15.75" customHeight="1">
      <c r="C621" s="88"/>
      <c r="O621" s="89"/>
    </row>
    <row r="622" spans="3:15" ht="15.75" customHeight="1">
      <c r="C622" s="88"/>
      <c r="O622" s="89"/>
    </row>
    <row r="623" spans="3:15" ht="15.75" customHeight="1">
      <c r="C623" s="88"/>
      <c r="O623" s="89"/>
    </row>
    <row r="624" spans="3:15" ht="15.75" customHeight="1">
      <c r="C624" s="88"/>
      <c r="O624" s="89"/>
    </row>
    <row r="625" spans="3:15" ht="15.75" customHeight="1">
      <c r="C625" s="88"/>
      <c r="O625" s="89"/>
    </row>
    <row r="626" spans="3:15" ht="15.75" customHeight="1">
      <c r="C626" s="88"/>
      <c r="O626" s="89"/>
    </row>
    <row r="627" spans="3:15" ht="15.75" customHeight="1">
      <c r="C627" s="88"/>
      <c r="O627" s="89"/>
    </row>
    <row r="628" spans="3:15" ht="15.75" customHeight="1">
      <c r="C628" s="88"/>
      <c r="O628" s="89"/>
    </row>
    <row r="629" spans="3:15" ht="15.75" customHeight="1">
      <c r="C629" s="88"/>
      <c r="O629" s="89"/>
    </row>
    <row r="630" spans="3:15" ht="15.75" customHeight="1">
      <c r="C630" s="88"/>
      <c r="O630" s="89"/>
    </row>
    <row r="631" spans="3:15" ht="15.75" customHeight="1">
      <c r="C631" s="88"/>
      <c r="O631" s="89"/>
    </row>
    <row r="632" spans="3:15" ht="15.75" customHeight="1">
      <c r="C632" s="88"/>
      <c r="O632" s="89"/>
    </row>
    <row r="633" spans="3:15" ht="15.75" customHeight="1">
      <c r="C633" s="88"/>
      <c r="O633" s="89"/>
    </row>
    <row r="634" spans="3:15" ht="15.75" customHeight="1">
      <c r="C634" s="88"/>
      <c r="O634" s="89"/>
    </row>
    <row r="635" spans="3:15" ht="15.75" customHeight="1">
      <c r="C635" s="88"/>
      <c r="O635" s="89"/>
    </row>
    <row r="636" spans="3:15" ht="15.75" customHeight="1">
      <c r="C636" s="88"/>
      <c r="O636" s="89"/>
    </row>
    <row r="637" spans="3:15" ht="15.75" customHeight="1">
      <c r="C637" s="88"/>
      <c r="O637" s="89"/>
    </row>
    <row r="638" spans="3:15" ht="15.75" customHeight="1">
      <c r="C638" s="88"/>
      <c r="O638" s="89"/>
    </row>
    <row r="639" spans="3:15" ht="15.75" customHeight="1">
      <c r="C639" s="88"/>
      <c r="O639" s="89"/>
    </row>
    <row r="640" spans="3:15" ht="15.75" customHeight="1">
      <c r="C640" s="88"/>
      <c r="O640" s="89"/>
    </row>
    <row r="641" spans="3:15" ht="15.75" customHeight="1">
      <c r="C641" s="88"/>
      <c r="O641" s="89"/>
    </row>
    <row r="642" spans="3:15" ht="15.75" customHeight="1">
      <c r="C642" s="88"/>
      <c r="O642" s="89"/>
    </row>
    <row r="643" spans="3:15" ht="15.75" customHeight="1">
      <c r="C643" s="88"/>
      <c r="O643" s="89"/>
    </row>
    <row r="644" spans="3:15" ht="15.75" customHeight="1">
      <c r="C644" s="88"/>
      <c r="O644" s="89"/>
    </row>
    <row r="645" spans="3:15" ht="15.75" customHeight="1">
      <c r="C645" s="88"/>
      <c r="O645" s="89"/>
    </row>
    <row r="646" spans="3:15" ht="15.75" customHeight="1">
      <c r="C646" s="88"/>
      <c r="O646" s="89"/>
    </row>
    <row r="647" spans="3:15" ht="15.75" customHeight="1">
      <c r="C647" s="88"/>
      <c r="O647" s="89"/>
    </row>
    <row r="648" spans="3:15" ht="15.75" customHeight="1">
      <c r="C648" s="88"/>
      <c r="O648" s="89"/>
    </row>
    <row r="649" spans="3:15" ht="15.75" customHeight="1">
      <c r="C649" s="88"/>
      <c r="O649" s="89"/>
    </row>
    <row r="650" spans="3:15" ht="15.75" customHeight="1">
      <c r="C650" s="88"/>
      <c r="O650" s="89"/>
    </row>
    <row r="651" spans="3:15" ht="15.75" customHeight="1">
      <c r="C651" s="88"/>
      <c r="O651" s="89"/>
    </row>
    <row r="652" spans="3:15" ht="15.75" customHeight="1">
      <c r="C652" s="88"/>
      <c r="O652" s="89"/>
    </row>
    <row r="653" spans="3:15" ht="15.75" customHeight="1">
      <c r="C653" s="88"/>
      <c r="O653" s="89"/>
    </row>
    <row r="654" spans="3:15" ht="15.75" customHeight="1">
      <c r="C654" s="88"/>
      <c r="O654" s="89"/>
    </row>
    <row r="655" spans="3:15" ht="15.75" customHeight="1">
      <c r="C655" s="88"/>
      <c r="O655" s="89"/>
    </row>
    <row r="656" spans="3:15" ht="15.75" customHeight="1">
      <c r="C656" s="88"/>
      <c r="O656" s="89"/>
    </row>
    <row r="657" spans="3:15" ht="15.75" customHeight="1">
      <c r="C657" s="88"/>
      <c r="O657" s="89"/>
    </row>
    <row r="658" spans="3:15" ht="15.75" customHeight="1">
      <c r="C658" s="88"/>
      <c r="O658" s="89"/>
    </row>
    <row r="659" spans="3:15" ht="15.75" customHeight="1">
      <c r="C659" s="88"/>
      <c r="O659" s="89"/>
    </row>
    <row r="660" spans="3:15" ht="15.75" customHeight="1">
      <c r="C660" s="88"/>
      <c r="O660" s="89"/>
    </row>
    <row r="661" spans="3:15" ht="15.75" customHeight="1">
      <c r="C661" s="88"/>
      <c r="O661" s="89"/>
    </row>
    <row r="662" spans="3:15" ht="15.75" customHeight="1">
      <c r="C662" s="88"/>
      <c r="O662" s="89"/>
    </row>
    <row r="663" spans="3:15" ht="15.75" customHeight="1">
      <c r="C663" s="88"/>
      <c r="O663" s="89"/>
    </row>
    <row r="664" spans="3:15" ht="15.75" customHeight="1">
      <c r="C664" s="88"/>
      <c r="O664" s="89"/>
    </row>
    <row r="665" spans="3:15" ht="15.75" customHeight="1">
      <c r="C665" s="88"/>
      <c r="O665" s="89"/>
    </row>
    <row r="666" spans="3:15" ht="15.75" customHeight="1">
      <c r="C666" s="88"/>
      <c r="O666" s="89"/>
    </row>
    <row r="667" spans="3:15" ht="15.75" customHeight="1">
      <c r="C667" s="88"/>
      <c r="O667" s="89"/>
    </row>
    <row r="668" spans="3:15" ht="15.75" customHeight="1">
      <c r="C668" s="88"/>
      <c r="O668" s="89"/>
    </row>
    <row r="669" spans="3:15" ht="15.75" customHeight="1">
      <c r="C669" s="88"/>
      <c r="O669" s="89"/>
    </row>
    <row r="670" spans="3:15" ht="15.75" customHeight="1">
      <c r="C670" s="88"/>
      <c r="O670" s="89"/>
    </row>
    <row r="671" spans="3:15" ht="15.75" customHeight="1">
      <c r="C671" s="88"/>
      <c r="O671" s="89"/>
    </row>
    <row r="672" spans="3:15" ht="15.75" customHeight="1">
      <c r="C672" s="88"/>
      <c r="O672" s="89"/>
    </row>
    <row r="673" spans="3:15" ht="15.75" customHeight="1">
      <c r="C673" s="88"/>
      <c r="O673" s="89"/>
    </row>
    <row r="674" spans="3:15" ht="15.75" customHeight="1">
      <c r="C674" s="88"/>
      <c r="O674" s="89"/>
    </row>
    <row r="675" spans="3:15" ht="15.75" customHeight="1">
      <c r="C675" s="88"/>
      <c r="O675" s="89"/>
    </row>
    <row r="676" spans="3:15" ht="15.75" customHeight="1">
      <c r="C676" s="88"/>
      <c r="O676" s="89"/>
    </row>
    <row r="677" spans="3:15" ht="15.75" customHeight="1">
      <c r="C677" s="88"/>
      <c r="O677" s="89"/>
    </row>
    <row r="678" spans="3:15" ht="15.75" customHeight="1">
      <c r="C678" s="88"/>
      <c r="O678" s="89"/>
    </row>
    <row r="679" spans="3:15" ht="15.75" customHeight="1">
      <c r="C679" s="88"/>
      <c r="O679" s="89"/>
    </row>
    <row r="680" spans="3:15" ht="15.75" customHeight="1">
      <c r="C680" s="88"/>
      <c r="O680" s="89"/>
    </row>
    <row r="681" spans="3:15" ht="15.75" customHeight="1">
      <c r="C681" s="88"/>
      <c r="O681" s="89"/>
    </row>
    <row r="682" spans="3:15" ht="15.75" customHeight="1">
      <c r="C682" s="88"/>
      <c r="O682" s="89"/>
    </row>
    <row r="683" spans="3:15" ht="15.75" customHeight="1">
      <c r="C683" s="88"/>
      <c r="O683" s="89"/>
    </row>
    <row r="684" spans="3:15" ht="15.75" customHeight="1">
      <c r="C684" s="88"/>
      <c r="O684" s="89"/>
    </row>
    <row r="685" spans="3:15" ht="15.75" customHeight="1">
      <c r="C685" s="88"/>
      <c r="O685" s="89"/>
    </row>
    <row r="686" spans="3:15" ht="15.75" customHeight="1">
      <c r="C686" s="88"/>
      <c r="O686" s="89"/>
    </row>
    <row r="687" spans="3:15" ht="15.75" customHeight="1">
      <c r="C687" s="88"/>
      <c r="O687" s="89"/>
    </row>
    <row r="688" spans="3:15" ht="15.75" customHeight="1">
      <c r="C688" s="88"/>
      <c r="O688" s="89"/>
    </row>
    <row r="689" spans="3:15" ht="15.75" customHeight="1">
      <c r="C689" s="88"/>
      <c r="O689" s="89"/>
    </row>
    <row r="690" spans="3:15" ht="15.75" customHeight="1">
      <c r="C690" s="88"/>
      <c r="O690" s="89"/>
    </row>
    <row r="691" spans="3:15" ht="15.75" customHeight="1">
      <c r="C691" s="88"/>
      <c r="O691" s="89"/>
    </row>
    <row r="692" spans="3:15" ht="15.75" customHeight="1">
      <c r="C692" s="88"/>
      <c r="O692" s="89"/>
    </row>
    <row r="693" spans="3:15" ht="15.75" customHeight="1">
      <c r="C693" s="88"/>
      <c r="O693" s="89"/>
    </row>
    <row r="694" spans="3:15" ht="15.75" customHeight="1">
      <c r="C694" s="88"/>
      <c r="O694" s="89"/>
    </row>
    <row r="695" spans="3:15" ht="15.75" customHeight="1">
      <c r="C695" s="88"/>
      <c r="O695" s="89"/>
    </row>
    <row r="696" spans="3:15" ht="15.75" customHeight="1">
      <c r="C696" s="88"/>
      <c r="O696" s="89"/>
    </row>
    <row r="697" spans="3:15" ht="15.75" customHeight="1">
      <c r="C697" s="88"/>
      <c r="O697" s="89"/>
    </row>
    <row r="698" spans="3:15" ht="15.75" customHeight="1">
      <c r="C698" s="88"/>
      <c r="O698" s="89"/>
    </row>
    <row r="699" spans="3:15" ht="15.75" customHeight="1">
      <c r="C699" s="88"/>
      <c r="O699" s="89"/>
    </row>
    <row r="700" spans="3:15" ht="15.75" customHeight="1">
      <c r="C700" s="88"/>
      <c r="O700" s="89"/>
    </row>
    <row r="701" spans="3:15" ht="15.75" customHeight="1">
      <c r="C701" s="88"/>
      <c r="O701" s="89"/>
    </row>
    <row r="702" spans="3:15" ht="15.75" customHeight="1">
      <c r="C702" s="88"/>
      <c r="O702" s="89"/>
    </row>
    <row r="703" spans="3:15" ht="15.75" customHeight="1">
      <c r="C703" s="88"/>
      <c r="O703" s="89"/>
    </row>
    <row r="704" spans="3:15" ht="15.75" customHeight="1">
      <c r="C704" s="88"/>
      <c r="O704" s="89"/>
    </row>
    <row r="705" spans="3:15" ht="15.75" customHeight="1">
      <c r="C705" s="88"/>
      <c r="O705" s="89"/>
    </row>
    <row r="706" spans="3:15" ht="15.75" customHeight="1">
      <c r="C706" s="88"/>
      <c r="O706" s="89"/>
    </row>
    <row r="707" spans="3:15" ht="15.75" customHeight="1">
      <c r="C707" s="88"/>
      <c r="O707" s="89"/>
    </row>
    <row r="708" spans="3:15" ht="15.75" customHeight="1">
      <c r="C708" s="88"/>
      <c r="O708" s="89"/>
    </row>
    <row r="709" spans="3:15" ht="15.75" customHeight="1">
      <c r="C709" s="88"/>
      <c r="O709" s="89"/>
    </row>
    <row r="710" spans="3:15" ht="15.75" customHeight="1">
      <c r="C710" s="88"/>
      <c r="O710" s="89"/>
    </row>
    <row r="711" spans="3:15" ht="15.75" customHeight="1">
      <c r="C711" s="88"/>
      <c r="O711" s="89"/>
    </row>
    <row r="712" spans="3:15" ht="15.75" customHeight="1">
      <c r="C712" s="88"/>
      <c r="O712" s="89"/>
    </row>
    <row r="713" spans="3:15" ht="15.75" customHeight="1">
      <c r="C713" s="88"/>
      <c r="O713" s="89"/>
    </row>
    <row r="714" spans="3:15" ht="15.75" customHeight="1">
      <c r="C714" s="88"/>
      <c r="O714" s="89"/>
    </row>
    <row r="715" spans="3:15" ht="15.75" customHeight="1">
      <c r="C715" s="88"/>
      <c r="O715" s="89"/>
    </row>
    <row r="716" spans="3:15" ht="15.75" customHeight="1">
      <c r="C716" s="88"/>
      <c r="O716" s="89"/>
    </row>
    <row r="717" spans="3:15" ht="15.75" customHeight="1">
      <c r="C717" s="88"/>
      <c r="O717" s="89"/>
    </row>
    <row r="718" spans="3:15" ht="15.75" customHeight="1">
      <c r="C718" s="88"/>
      <c r="O718" s="89"/>
    </row>
    <row r="719" spans="3:15" ht="15.75" customHeight="1">
      <c r="C719" s="88"/>
      <c r="O719" s="89"/>
    </row>
    <row r="720" spans="3:15" ht="15.75" customHeight="1">
      <c r="C720" s="88"/>
      <c r="O720" s="89"/>
    </row>
    <row r="721" spans="3:15" ht="15.75" customHeight="1">
      <c r="C721" s="88"/>
      <c r="O721" s="89"/>
    </row>
    <row r="722" spans="3:15" ht="15.75" customHeight="1">
      <c r="C722" s="88"/>
      <c r="O722" s="89"/>
    </row>
    <row r="723" spans="3:15" ht="15.75" customHeight="1">
      <c r="C723" s="88"/>
      <c r="O723" s="89"/>
    </row>
    <row r="724" spans="3:15" ht="15.75" customHeight="1">
      <c r="C724" s="88"/>
      <c r="O724" s="89"/>
    </row>
    <row r="725" spans="3:15" ht="15.75" customHeight="1">
      <c r="C725" s="88"/>
      <c r="O725" s="89"/>
    </row>
    <row r="726" spans="3:15" ht="15.75" customHeight="1">
      <c r="C726" s="88"/>
      <c r="O726" s="89"/>
    </row>
    <row r="727" spans="3:15" ht="15.75" customHeight="1">
      <c r="C727" s="88"/>
      <c r="O727" s="89"/>
    </row>
    <row r="728" spans="3:15" ht="15.75" customHeight="1">
      <c r="C728" s="88"/>
      <c r="O728" s="89"/>
    </row>
    <row r="729" spans="3:15" ht="15.75" customHeight="1">
      <c r="C729" s="88"/>
      <c r="O729" s="89"/>
    </row>
    <row r="730" spans="3:15" ht="15.75" customHeight="1">
      <c r="C730" s="88"/>
      <c r="O730" s="89"/>
    </row>
    <row r="731" spans="3:15" ht="15.75" customHeight="1">
      <c r="C731" s="88"/>
      <c r="O731" s="89"/>
    </row>
    <row r="732" spans="3:15" ht="15.75" customHeight="1">
      <c r="C732" s="88"/>
      <c r="O732" s="89"/>
    </row>
    <row r="733" spans="3:15" ht="15.75" customHeight="1">
      <c r="C733" s="88"/>
      <c r="O733" s="89"/>
    </row>
    <row r="734" spans="3:15" ht="15.75" customHeight="1">
      <c r="C734" s="88"/>
      <c r="O734" s="89"/>
    </row>
    <row r="735" spans="3:15" ht="15.75" customHeight="1">
      <c r="C735" s="88"/>
      <c r="O735" s="89"/>
    </row>
    <row r="736" spans="3:15" ht="15.75" customHeight="1">
      <c r="C736" s="88"/>
      <c r="O736" s="89"/>
    </row>
    <row r="737" spans="3:15" ht="15.75" customHeight="1">
      <c r="C737" s="88"/>
      <c r="O737" s="89"/>
    </row>
    <row r="738" spans="3:15" ht="15.75" customHeight="1">
      <c r="C738" s="88"/>
      <c r="O738" s="89"/>
    </row>
    <row r="739" spans="3:15" ht="15.75" customHeight="1">
      <c r="C739" s="88"/>
      <c r="O739" s="89"/>
    </row>
    <row r="740" spans="3:15" ht="15.75" customHeight="1">
      <c r="C740" s="88"/>
      <c r="O740" s="89"/>
    </row>
    <row r="741" spans="3:15" ht="15.75" customHeight="1">
      <c r="C741" s="88"/>
      <c r="O741" s="89"/>
    </row>
    <row r="742" spans="3:15" ht="15.75" customHeight="1">
      <c r="C742" s="88"/>
      <c r="O742" s="89"/>
    </row>
    <row r="743" spans="3:15" ht="15.75" customHeight="1">
      <c r="C743" s="88"/>
      <c r="O743" s="89"/>
    </row>
    <row r="744" spans="3:15" ht="15.75" customHeight="1">
      <c r="C744" s="88"/>
      <c r="O744" s="89"/>
    </row>
    <row r="745" spans="3:15" ht="15.75" customHeight="1">
      <c r="C745" s="88"/>
      <c r="O745" s="89"/>
    </row>
    <row r="746" spans="3:15" ht="15.75" customHeight="1">
      <c r="C746" s="88"/>
      <c r="O746" s="89"/>
    </row>
    <row r="747" spans="3:15" ht="15.75" customHeight="1">
      <c r="C747" s="88"/>
      <c r="O747" s="89"/>
    </row>
    <row r="748" spans="3:15" ht="15.75" customHeight="1">
      <c r="C748" s="88"/>
      <c r="O748" s="89"/>
    </row>
    <row r="749" spans="3:15" ht="15.75" customHeight="1">
      <c r="C749" s="88"/>
      <c r="O749" s="89"/>
    </row>
    <row r="750" spans="3:15" ht="15.75" customHeight="1">
      <c r="C750" s="88"/>
      <c r="O750" s="89"/>
    </row>
    <row r="751" spans="3:15" ht="15.75" customHeight="1">
      <c r="C751" s="88"/>
      <c r="O751" s="89"/>
    </row>
    <row r="752" spans="3:15" ht="15.75" customHeight="1">
      <c r="C752" s="88"/>
      <c r="O752" s="89"/>
    </row>
    <row r="753" spans="3:15" ht="15.75" customHeight="1">
      <c r="C753" s="88"/>
      <c r="O753" s="89"/>
    </row>
    <row r="754" spans="3:15" ht="15.75" customHeight="1">
      <c r="C754" s="88"/>
      <c r="O754" s="89"/>
    </row>
    <row r="755" spans="3:15" ht="15.75" customHeight="1">
      <c r="C755" s="88"/>
      <c r="O755" s="89"/>
    </row>
    <row r="756" spans="3:15" ht="15.75" customHeight="1">
      <c r="C756" s="88"/>
      <c r="O756" s="89"/>
    </row>
    <row r="757" spans="3:15" ht="15.75" customHeight="1">
      <c r="C757" s="88"/>
      <c r="O757" s="89"/>
    </row>
    <row r="758" spans="3:15" ht="15.75" customHeight="1">
      <c r="C758" s="88"/>
      <c r="O758" s="89"/>
    </row>
    <row r="759" spans="3:15" ht="15.75" customHeight="1">
      <c r="C759" s="88"/>
      <c r="O759" s="89"/>
    </row>
    <row r="760" spans="3:15" ht="15.75" customHeight="1">
      <c r="C760" s="88"/>
      <c r="O760" s="89"/>
    </row>
    <row r="761" spans="3:15" ht="15.75" customHeight="1">
      <c r="C761" s="88"/>
      <c r="O761" s="89"/>
    </row>
    <row r="762" spans="3:15" ht="15.75" customHeight="1">
      <c r="C762" s="88"/>
      <c r="O762" s="89"/>
    </row>
    <row r="763" spans="3:15" ht="15.75" customHeight="1">
      <c r="C763" s="88"/>
      <c r="O763" s="89"/>
    </row>
    <row r="764" spans="3:15" ht="15.75" customHeight="1">
      <c r="C764" s="88"/>
      <c r="O764" s="89"/>
    </row>
    <row r="765" spans="3:15" ht="15.75" customHeight="1">
      <c r="C765" s="88"/>
      <c r="O765" s="89"/>
    </row>
    <row r="766" spans="3:15" ht="15.75" customHeight="1">
      <c r="C766" s="88"/>
      <c r="O766" s="89"/>
    </row>
    <row r="767" spans="3:15" ht="15.75" customHeight="1">
      <c r="C767" s="88"/>
      <c r="O767" s="89"/>
    </row>
    <row r="768" spans="3:15" ht="15.75" customHeight="1">
      <c r="C768" s="88"/>
      <c r="O768" s="89"/>
    </row>
    <row r="769" spans="3:15" ht="15.75" customHeight="1">
      <c r="C769" s="88"/>
      <c r="O769" s="89"/>
    </row>
    <row r="770" spans="3:15" ht="15.75" customHeight="1">
      <c r="C770" s="88"/>
      <c r="O770" s="89"/>
    </row>
    <row r="771" spans="3:15" ht="15.75" customHeight="1">
      <c r="C771" s="88"/>
      <c r="O771" s="89"/>
    </row>
    <row r="772" spans="3:15" ht="15.75" customHeight="1">
      <c r="C772" s="88"/>
      <c r="O772" s="89"/>
    </row>
    <row r="773" spans="3:15" ht="15.75" customHeight="1">
      <c r="C773" s="88"/>
      <c r="O773" s="89"/>
    </row>
    <row r="774" spans="3:15" ht="15.75" customHeight="1">
      <c r="C774" s="88"/>
      <c r="O774" s="89"/>
    </row>
    <row r="775" spans="3:15" ht="15.75" customHeight="1">
      <c r="C775" s="88"/>
      <c r="O775" s="89"/>
    </row>
    <row r="776" spans="3:15" ht="15.75" customHeight="1">
      <c r="C776" s="88"/>
      <c r="O776" s="89"/>
    </row>
    <row r="777" spans="3:15" ht="15.75" customHeight="1">
      <c r="C777" s="88"/>
      <c r="O777" s="89"/>
    </row>
    <row r="778" spans="3:15" ht="15.75" customHeight="1">
      <c r="C778" s="88"/>
      <c r="O778" s="89"/>
    </row>
    <row r="779" spans="3:15" ht="15.75" customHeight="1">
      <c r="C779" s="88"/>
      <c r="O779" s="89"/>
    </row>
    <row r="780" spans="3:15" ht="15.75" customHeight="1">
      <c r="C780" s="88"/>
      <c r="O780" s="89"/>
    </row>
    <row r="781" spans="3:15" ht="15.75" customHeight="1">
      <c r="C781" s="88"/>
      <c r="O781" s="89"/>
    </row>
    <row r="782" spans="3:15" ht="15.75" customHeight="1">
      <c r="C782" s="88"/>
      <c r="O782" s="89"/>
    </row>
    <row r="783" spans="3:15" ht="15.75" customHeight="1">
      <c r="C783" s="88"/>
      <c r="O783" s="89"/>
    </row>
    <row r="784" spans="3:15" ht="15.75" customHeight="1">
      <c r="C784" s="88"/>
      <c r="O784" s="89"/>
    </row>
    <row r="785" spans="3:15" ht="15.75" customHeight="1">
      <c r="C785" s="88"/>
      <c r="O785" s="89"/>
    </row>
    <row r="786" spans="3:15" ht="15.75" customHeight="1">
      <c r="C786" s="88"/>
      <c r="O786" s="89"/>
    </row>
    <row r="787" spans="3:15" ht="15.75" customHeight="1">
      <c r="C787" s="88"/>
      <c r="O787" s="89"/>
    </row>
    <row r="788" spans="3:15" ht="15.75" customHeight="1">
      <c r="C788" s="88"/>
      <c r="O788" s="89"/>
    </row>
    <row r="789" spans="3:15" ht="15.75" customHeight="1">
      <c r="C789" s="88"/>
      <c r="O789" s="89"/>
    </row>
    <row r="790" spans="3:15" ht="15.75" customHeight="1">
      <c r="C790" s="88"/>
      <c r="O790" s="89"/>
    </row>
    <row r="791" spans="3:15" ht="15.75" customHeight="1">
      <c r="C791" s="88"/>
      <c r="O791" s="89"/>
    </row>
    <row r="792" spans="3:15" ht="15.75" customHeight="1">
      <c r="C792" s="88"/>
      <c r="O792" s="89"/>
    </row>
    <row r="793" spans="3:15" ht="15.75" customHeight="1">
      <c r="C793" s="88"/>
      <c r="O793" s="89"/>
    </row>
    <row r="794" spans="3:15" ht="15.75" customHeight="1">
      <c r="C794" s="88"/>
      <c r="O794" s="89"/>
    </row>
    <row r="795" spans="3:15" ht="15.75" customHeight="1">
      <c r="C795" s="88"/>
      <c r="O795" s="89"/>
    </row>
    <row r="796" spans="3:15" ht="15.75" customHeight="1">
      <c r="C796" s="88"/>
      <c r="O796" s="89"/>
    </row>
    <row r="797" spans="3:15" ht="15.75" customHeight="1">
      <c r="C797" s="88"/>
      <c r="O797" s="89"/>
    </row>
    <row r="798" spans="3:15" ht="15.75" customHeight="1">
      <c r="C798" s="88"/>
      <c r="O798" s="89"/>
    </row>
    <row r="799" spans="3:15" ht="15.75" customHeight="1">
      <c r="C799" s="88"/>
      <c r="O799" s="89"/>
    </row>
    <row r="800" spans="3:15" ht="15.75" customHeight="1">
      <c r="C800" s="88"/>
      <c r="O800" s="89"/>
    </row>
    <row r="801" spans="3:15" ht="15.75" customHeight="1">
      <c r="C801" s="88"/>
      <c r="O801" s="89"/>
    </row>
    <row r="802" spans="3:15" ht="15.75" customHeight="1">
      <c r="C802" s="88"/>
      <c r="O802" s="89"/>
    </row>
    <row r="803" spans="3:15" ht="15.75" customHeight="1">
      <c r="C803" s="88"/>
      <c r="O803" s="89"/>
    </row>
    <row r="804" spans="3:15" ht="15.75" customHeight="1">
      <c r="C804" s="88"/>
      <c r="O804" s="89"/>
    </row>
    <row r="805" spans="3:15" ht="15.75" customHeight="1">
      <c r="C805" s="88"/>
      <c r="O805" s="89"/>
    </row>
    <row r="806" spans="3:15" ht="15.75" customHeight="1">
      <c r="C806" s="88"/>
      <c r="O806" s="89"/>
    </row>
    <row r="807" spans="3:15" ht="15.75" customHeight="1">
      <c r="C807" s="88"/>
      <c r="O807" s="89"/>
    </row>
    <row r="808" spans="3:15" ht="15.75" customHeight="1">
      <c r="C808" s="88"/>
      <c r="O808" s="89"/>
    </row>
    <row r="809" spans="3:15" ht="15.75" customHeight="1">
      <c r="C809" s="88"/>
      <c r="O809" s="89"/>
    </row>
    <row r="810" spans="3:15" ht="15.75" customHeight="1">
      <c r="C810" s="88"/>
      <c r="O810" s="89"/>
    </row>
    <row r="811" spans="3:15" ht="15.75" customHeight="1">
      <c r="C811" s="88"/>
      <c r="O811" s="89"/>
    </row>
    <row r="812" spans="3:15" ht="15.75" customHeight="1">
      <c r="C812" s="88"/>
      <c r="O812" s="89"/>
    </row>
    <row r="813" spans="3:15" ht="15.75" customHeight="1">
      <c r="C813" s="88"/>
      <c r="O813" s="89"/>
    </row>
    <row r="814" spans="3:15" ht="15.75" customHeight="1">
      <c r="C814" s="88"/>
      <c r="O814" s="89"/>
    </row>
    <row r="815" spans="3:15" ht="15.75" customHeight="1">
      <c r="C815" s="88"/>
      <c r="O815" s="89"/>
    </row>
    <row r="816" spans="3:15" ht="15.75" customHeight="1">
      <c r="C816" s="88"/>
      <c r="O816" s="89"/>
    </row>
    <row r="817" spans="3:15" ht="15.75" customHeight="1">
      <c r="C817" s="88"/>
      <c r="O817" s="89"/>
    </row>
    <row r="818" spans="3:15" ht="15.75" customHeight="1">
      <c r="C818" s="88"/>
      <c r="O818" s="89"/>
    </row>
    <row r="819" spans="3:15" ht="15.75" customHeight="1">
      <c r="C819" s="88"/>
      <c r="O819" s="89"/>
    </row>
    <row r="820" spans="3:15" ht="15.75" customHeight="1">
      <c r="C820" s="88"/>
      <c r="O820" s="89"/>
    </row>
    <row r="821" spans="3:15" ht="15.75" customHeight="1">
      <c r="C821" s="88"/>
      <c r="O821" s="89"/>
    </row>
    <row r="822" spans="3:15" ht="15.75" customHeight="1">
      <c r="C822" s="88"/>
      <c r="O822" s="89"/>
    </row>
    <row r="823" spans="3:15" ht="15.75" customHeight="1">
      <c r="C823" s="88"/>
      <c r="O823" s="89"/>
    </row>
    <row r="824" spans="3:15" ht="15.75" customHeight="1">
      <c r="C824" s="88"/>
      <c r="O824" s="89"/>
    </row>
    <row r="825" spans="3:15" ht="15.75" customHeight="1">
      <c r="C825" s="88"/>
      <c r="O825" s="89"/>
    </row>
    <row r="826" spans="3:15" ht="15.75" customHeight="1">
      <c r="C826" s="88"/>
      <c r="O826" s="89"/>
    </row>
    <row r="827" spans="3:15" ht="15.75" customHeight="1">
      <c r="C827" s="88"/>
      <c r="O827" s="89"/>
    </row>
    <row r="828" spans="3:15" ht="15.75" customHeight="1">
      <c r="C828" s="88"/>
      <c r="O828" s="89"/>
    </row>
    <row r="829" spans="3:15" ht="15.75" customHeight="1">
      <c r="C829" s="88"/>
      <c r="O829" s="89"/>
    </row>
    <row r="830" spans="3:15" ht="15.75" customHeight="1">
      <c r="C830" s="88"/>
      <c r="O830" s="89"/>
    </row>
    <row r="831" spans="3:15" ht="15.75" customHeight="1">
      <c r="C831" s="88"/>
      <c r="O831" s="89"/>
    </row>
    <row r="832" spans="3:15" ht="15.75" customHeight="1">
      <c r="C832" s="88"/>
      <c r="O832" s="89"/>
    </row>
    <row r="833" spans="3:15" ht="15.75" customHeight="1">
      <c r="C833" s="88"/>
      <c r="O833" s="89"/>
    </row>
    <row r="834" spans="3:15" ht="15.75" customHeight="1">
      <c r="C834" s="88"/>
      <c r="O834" s="89"/>
    </row>
    <row r="835" spans="3:15" ht="15.75" customHeight="1">
      <c r="C835" s="88"/>
      <c r="O835" s="89"/>
    </row>
    <row r="836" spans="3:15" ht="15.75" customHeight="1">
      <c r="C836" s="88"/>
      <c r="O836" s="89"/>
    </row>
    <row r="837" spans="3:15" ht="15.75" customHeight="1">
      <c r="C837" s="88"/>
      <c r="O837" s="89"/>
    </row>
    <row r="838" spans="3:15" ht="15.75" customHeight="1">
      <c r="C838" s="88"/>
      <c r="O838" s="89"/>
    </row>
    <row r="839" spans="3:15" ht="15.75" customHeight="1">
      <c r="C839" s="88"/>
      <c r="O839" s="89"/>
    </row>
    <row r="840" spans="3:15" ht="15.75" customHeight="1">
      <c r="C840" s="88"/>
      <c r="O840" s="89"/>
    </row>
    <row r="841" spans="3:15" ht="15.75" customHeight="1">
      <c r="C841" s="88"/>
      <c r="O841" s="89"/>
    </row>
    <row r="842" spans="3:15" ht="15.75" customHeight="1">
      <c r="C842" s="88"/>
      <c r="O842" s="89"/>
    </row>
    <row r="843" spans="3:15" ht="15.75" customHeight="1">
      <c r="C843" s="88"/>
      <c r="O843" s="89"/>
    </row>
    <row r="844" spans="3:15" ht="15.75" customHeight="1">
      <c r="C844" s="88"/>
      <c r="O844" s="89"/>
    </row>
    <row r="845" spans="3:15" ht="15.75" customHeight="1">
      <c r="C845" s="88"/>
      <c r="O845" s="89"/>
    </row>
    <row r="846" spans="3:15" ht="15.75" customHeight="1">
      <c r="C846" s="88"/>
      <c r="O846" s="89"/>
    </row>
    <row r="847" spans="3:15" ht="15.75" customHeight="1">
      <c r="C847" s="88"/>
      <c r="O847" s="89"/>
    </row>
    <row r="848" spans="3:15" ht="15.75" customHeight="1">
      <c r="C848" s="88"/>
      <c r="O848" s="89"/>
    </row>
    <row r="849" spans="3:15" ht="15.75" customHeight="1">
      <c r="C849" s="88"/>
      <c r="O849" s="89"/>
    </row>
    <row r="850" spans="3:15" ht="15.75" customHeight="1">
      <c r="C850" s="88"/>
      <c r="O850" s="89"/>
    </row>
    <row r="851" spans="3:15" ht="15.75" customHeight="1">
      <c r="C851" s="88"/>
      <c r="O851" s="89"/>
    </row>
    <row r="852" spans="3:15" ht="15.75" customHeight="1">
      <c r="C852" s="88"/>
      <c r="O852" s="89"/>
    </row>
    <row r="853" spans="3:15" ht="15.75" customHeight="1">
      <c r="C853" s="88"/>
      <c r="O853" s="89"/>
    </row>
    <row r="854" spans="3:15" ht="15.75" customHeight="1">
      <c r="C854" s="88"/>
      <c r="O854" s="89"/>
    </row>
    <row r="855" spans="3:15" ht="15.75" customHeight="1">
      <c r="C855" s="88"/>
      <c r="O855" s="89"/>
    </row>
    <row r="856" spans="3:15" ht="15.75" customHeight="1">
      <c r="C856" s="88"/>
      <c r="O856" s="89"/>
    </row>
    <row r="857" spans="3:15" ht="15.75" customHeight="1">
      <c r="C857" s="88"/>
      <c r="O857" s="89"/>
    </row>
    <row r="858" spans="3:15" ht="15.75" customHeight="1">
      <c r="C858" s="88"/>
      <c r="O858" s="89"/>
    </row>
    <row r="859" spans="3:15" ht="15.75" customHeight="1">
      <c r="C859" s="88"/>
      <c r="O859" s="89"/>
    </row>
    <row r="860" spans="3:15" ht="15.75" customHeight="1">
      <c r="C860" s="88"/>
      <c r="O860" s="89"/>
    </row>
    <row r="861" spans="3:15" ht="15.75" customHeight="1">
      <c r="C861" s="88"/>
      <c r="O861" s="89"/>
    </row>
    <row r="862" spans="3:15" ht="15.75" customHeight="1">
      <c r="C862" s="88"/>
      <c r="O862" s="89"/>
    </row>
    <row r="863" spans="3:15" ht="15.75" customHeight="1">
      <c r="C863" s="88"/>
      <c r="O863" s="89"/>
    </row>
    <row r="864" spans="3:15" ht="15.75" customHeight="1">
      <c r="C864" s="88"/>
      <c r="O864" s="89"/>
    </row>
    <row r="865" spans="3:15" ht="15.75" customHeight="1">
      <c r="C865" s="88"/>
      <c r="O865" s="89"/>
    </row>
    <row r="866" spans="3:15" ht="15.75" customHeight="1">
      <c r="C866" s="88"/>
      <c r="O866" s="89"/>
    </row>
    <row r="867" spans="3:15" ht="15.75" customHeight="1">
      <c r="C867" s="88"/>
      <c r="O867" s="89"/>
    </row>
    <row r="868" spans="3:15" ht="15.75" customHeight="1">
      <c r="C868" s="88"/>
      <c r="O868" s="89"/>
    </row>
    <row r="869" spans="3:15" ht="15.75" customHeight="1">
      <c r="C869" s="88"/>
      <c r="O869" s="89"/>
    </row>
    <row r="870" spans="3:15" ht="15.75" customHeight="1">
      <c r="C870" s="88"/>
      <c r="O870" s="89"/>
    </row>
    <row r="871" spans="3:15" ht="15.75" customHeight="1">
      <c r="C871" s="88"/>
      <c r="O871" s="89"/>
    </row>
    <row r="872" spans="3:15" ht="15.75" customHeight="1">
      <c r="C872" s="88"/>
      <c r="O872" s="89"/>
    </row>
    <row r="873" spans="3:15" ht="15.75" customHeight="1">
      <c r="C873" s="88"/>
      <c r="O873" s="89"/>
    </row>
    <row r="874" spans="3:15" ht="15.75" customHeight="1">
      <c r="C874" s="88"/>
      <c r="O874" s="89"/>
    </row>
    <row r="875" spans="3:15" ht="15.75" customHeight="1">
      <c r="C875" s="88"/>
      <c r="O875" s="89"/>
    </row>
    <row r="876" spans="3:15" ht="15.75" customHeight="1">
      <c r="C876" s="88"/>
      <c r="O876" s="89"/>
    </row>
    <row r="877" spans="3:15" ht="15.75" customHeight="1">
      <c r="C877" s="88"/>
      <c r="O877" s="89"/>
    </row>
    <row r="878" spans="3:15" ht="15.75" customHeight="1">
      <c r="C878" s="88"/>
      <c r="O878" s="89"/>
    </row>
    <row r="879" spans="3:15" ht="15.75" customHeight="1">
      <c r="C879" s="88"/>
      <c r="O879" s="89"/>
    </row>
    <row r="880" spans="3:15" ht="15.75" customHeight="1">
      <c r="C880" s="88"/>
      <c r="O880" s="89"/>
    </row>
    <row r="881" spans="3:15" ht="15.75" customHeight="1">
      <c r="C881" s="88"/>
      <c r="O881" s="89"/>
    </row>
    <row r="882" spans="3:15" ht="15.75" customHeight="1">
      <c r="C882" s="88"/>
      <c r="O882" s="89"/>
    </row>
    <row r="883" spans="3:15" ht="15.75" customHeight="1">
      <c r="C883" s="88"/>
      <c r="O883" s="89"/>
    </row>
    <row r="884" spans="3:15" ht="15.75" customHeight="1">
      <c r="C884" s="88"/>
      <c r="O884" s="89"/>
    </row>
    <row r="885" spans="3:15" ht="15.75" customHeight="1">
      <c r="C885" s="88"/>
      <c r="O885" s="89"/>
    </row>
    <row r="886" spans="3:15" ht="15.75" customHeight="1">
      <c r="C886" s="88"/>
      <c r="O886" s="89"/>
    </row>
    <row r="887" spans="3:15" ht="15.75" customHeight="1">
      <c r="C887" s="88"/>
      <c r="O887" s="89"/>
    </row>
    <row r="888" spans="3:15" ht="15.75" customHeight="1">
      <c r="C888" s="88"/>
      <c r="O888" s="89"/>
    </row>
    <row r="889" spans="3:15" ht="15.75" customHeight="1">
      <c r="C889" s="88"/>
      <c r="O889" s="89"/>
    </row>
    <row r="890" spans="3:15" ht="15.75" customHeight="1">
      <c r="C890" s="88"/>
      <c r="O890" s="89"/>
    </row>
    <row r="891" spans="3:15" ht="15.75" customHeight="1">
      <c r="C891" s="88"/>
      <c r="O891" s="89"/>
    </row>
    <row r="892" spans="3:15" ht="15.75" customHeight="1">
      <c r="C892" s="88"/>
      <c r="O892" s="89"/>
    </row>
    <row r="893" spans="3:15" ht="15.75" customHeight="1">
      <c r="C893" s="88"/>
      <c r="O893" s="89"/>
    </row>
    <row r="894" spans="3:15" ht="15.75" customHeight="1">
      <c r="C894" s="88"/>
      <c r="O894" s="89"/>
    </row>
    <row r="895" spans="3:15" ht="15.75" customHeight="1">
      <c r="C895" s="88"/>
      <c r="O895" s="89"/>
    </row>
    <row r="896" spans="3:15" ht="15.75" customHeight="1">
      <c r="C896" s="88"/>
      <c r="O896" s="89"/>
    </row>
    <row r="897" spans="3:15" ht="15.75" customHeight="1">
      <c r="C897" s="88"/>
      <c r="O897" s="89"/>
    </row>
    <row r="898" spans="3:15" ht="15.75" customHeight="1">
      <c r="C898" s="88"/>
      <c r="O898" s="89"/>
    </row>
    <row r="899" spans="3:15" ht="15.75" customHeight="1">
      <c r="C899" s="88"/>
      <c r="O899" s="89"/>
    </row>
    <row r="900" spans="3:15" ht="15.75" customHeight="1">
      <c r="C900" s="88"/>
      <c r="O900" s="89"/>
    </row>
    <row r="901" spans="3:15" ht="15.75" customHeight="1">
      <c r="C901" s="88"/>
      <c r="O901" s="89"/>
    </row>
    <row r="902" spans="3:15" ht="15.75" customHeight="1">
      <c r="C902" s="88"/>
      <c r="O902" s="89"/>
    </row>
    <row r="903" spans="3:15" ht="15.75" customHeight="1">
      <c r="C903" s="88"/>
      <c r="O903" s="89"/>
    </row>
    <row r="904" spans="3:15" ht="15.75" customHeight="1">
      <c r="C904" s="88"/>
      <c r="O904" s="89"/>
    </row>
    <row r="905" spans="3:15" ht="15.75" customHeight="1">
      <c r="C905" s="88"/>
      <c r="O905" s="89"/>
    </row>
    <row r="906" spans="3:15" ht="15.75" customHeight="1">
      <c r="C906" s="88"/>
      <c r="O906" s="89"/>
    </row>
    <row r="907" spans="3:15" ht="15.75" customHeight="1">
      <c r="C907" s="88"/>
      <c r="O907" s="89"/>
    </row>
    <row r="908" spans="3:15" ht="15.75" customHeight="1">
      <c r="C908" s="88"/>
      <c r="O908" s="89"/>
    </row>
    <row r="909" spans="3:15" ht="15.75" customHeight="1">
      <c r="C909" s="88"/>
      <c r="O909" s="89"/>
    </row>
    <row r="910" spans="3:15" ht="15.75" customHeight="1">
      <c r="C910" s="88"/>
      <c r="O910" s="89"/>
    </row>
    <row r="911" spans="3:15" ht="15.75" customHeight="1">
      <c r="C911" s="88"/>
      <c r="O911" s="89"/>
    </row>
    <row r="912" spans="3:15" ht="15.75" customHeight="1">
      <c r="C912" s="88"/>
      <c r="O912" s="89"/>
    </row>
    <row r="913" spans="3:15" ht="15.75" customHeight="1">
      <c r="C913" s="88"/>
      <c r="O913" s="89"/>
    </row>
    <row r="914" spans="3:15" ht="15.75" customHeight="1">
      <c r="C914" s="88"/>
      <c r="O914" s="89"/>
    </row>
    <row r="915" spans="3:15" ht="15.75" customHeight="1">
      <c r="C915" s="88"/>
      <c r="O915" s="89"/>
    </row>
    <row r="916" spans="3:15" ht="15.75" customHeight="1">
      <c r="C916" s="88"/>
      <c r="O916" s="89"/>
    </row>
    <row r="917" spans="3:15" ht="15.75" customHeight="1">
      <c r="C917" s="88"/>
      <c r="O917" s="89"/>
    </row>
    <row r="918" spans="3:15" ht="15.75" customHeight="1">
      <c r="C918" s="88"/>
      <c r="O918" s="89"/>
    </row>
    <row r="919" spans="3:15" ht="15.75" customHeight="1">
      <c r="C919" s="88"/>
      <c r="O919" s="89"/>
    </row>
    <row r="920" spans="3:15" ht="15.75" customHeight="1">
      <c r="C920" s="88"/>
      <c r="O920" s="89"/>
    </row>
    <row r="921" spans="3:15" ht="15.75" customHeight="1">
      <c r="C921" s="88"/>
      <c r="O921" s="89"/>
    </row>
    <row r="922" spans="3:15" ht="15.75" customHeight="1">
      <c r="C922" s="88"/>
      <c r="O922" s="89"/>
    </row>
    <row r="923" spans="3:15" ht="15.75" customHeight="1">
      <c r="C923" s="88"/>
      <c r="O923" s="89"/>
    </row>
    <row r="924" spans="3:15" ht="15.75" customHeight="1">
      <c r="C924" s="88"/>
      <c r="O924" s="89"/>
    </row>
    <row r="925" spans="3:15" ht="15.75" customHeight="1">
      <c r="C925" s="88"/>
      <c r="O925" s="89"/>
    </row>
    <row r="926" spans="3:15" ht="15.75" customHeight="1">
      <c r="C926" s="88"/>
      <c r="O926" s="89"/>
    </row>
    <row r="927" spans="3:15" ht="15.75" customHeight="1">
      <c r="C927" s="88"/>
      <c r="O927" s="89"/>
    </row>
    <row r="928" spans="3:15" ht="15.75" customHeight="1">
      <c r="C928" s="88"/>
      <c r="O928" s="89"/>
    </row>
    <row r="929" spans="3:15" ht="15.75" customHeight="1">
      <c r="C929" s="88"/>
      <c r="O929" s="89"/>
    </row>
    <row r="930" spans="3:15" ht="15.75" customHeight="1">
      <c r="C930" s="88"/>
      <c r="O930" s="89"/>
    </row>
    <row r="931" spans="3:15" ht="15.75" customHeight="1">
      <c r="C931" s="88"/>
      <c r="O931" s="89"/>
    </row>
    <row r="932" spans="3:15" ht="15.75" customHeight="1">
      <c r="C932" s="88"/>
      <c r="O932" s="89"/>
    </row>
    <row r="933" spans="3:15" ht="15.75" customHeight="1">
      <c r="C933" s="88"/>
      <c r="O933" s="89"/>
    </row>
    <row r="934" spans="3:15" ht="15.75" customHeight="1">
      <c r="C934" s="88"/>
      <c r="O934" s="89"/>
    </row>
    <row r="935" spans="3:15" ht="15.75" customHeight="1">
      <c r="C935" s="88"/>
      <c r="O935" s="89"/>
    </row>
    <row r="936" spans="3:15" ht="15.75" customHeight="1">
      <c r="C936" s="88"/>
      <c r="O936" s="89"/>
    </row>
    <row r="937" spans="3:15" ht="15.75" customHeight="1">
      <c r="C937" s="88"/>
      <c r="O937" s="89"/>
    </row>
    <row r="938" spans="3:15" ht="15.75" customHeight="1">
      <c r="C938" s="88"/>
      <c r="O938" s="89"/>
    </row>
    <row r="939" spans="3:15" ht="15.75" customHeight="1">
      <c r="C939" s="88"/>
      <c r="O939" s="89"/>
    </row>
    <row r="940" spans="3:15" ht="15.75" customHeight="1">
      <c r="C940" s="88"/>
      <c r="O940" s="89"/>
    </row>
    <row r="941" spans="3:15" ht="15.75" customHeight="1">
      <c r="C941" s="88"/>
      <c r="O941" s="89"/>
    </row>
    <row r="942" spans="3:15" ht="15.75" customHeight="1">
      <c r="C942" s="88"/>
      <c r="O942" s="89"/>
    </row>
    <row r="943" spans="3:15" ht="15.75" customHeight="1">
      <c r="C943" s="88"/>
      <c r="O943" s="89"/>
    </row>
    <row r="944" spans="3:15" ht="15.75" customHeight="1">
      <c r="C944" s="88"/>
      <c r="O944" s="89"/>
    </row>
    <row r="945" spans="3:15" ht="15.75" customHeight="1">
      <c r="C945" s="88"/>
      <c r="O945" s="89"/>
    </row>
    <row r="946" spans="3:15" ht="15.75" customHeight="1">
      <c r="C946" s="88"/>
      <c r="O946" s="89"/>
    </row>
    <row r="947" spans="3:15" ht="15.75" customHeight="1">
      <c r="C947" s="88"/>
      <c r="O947" s="89"/>
    </row>
    <row r="948" spans="3:15" ht="15.75" customHeight="1">
      <c r="C948" s="88"/>
      <c r="O948" s="89"/>
    </row>
    <row r="949" spans="3:15" ht="15.75" customHeight="1">
      <c r="C949" s="88"/>
      <c r="O949" s="89"/>
    </row>
    <row r="950" spans="3:15" ht="15.75" customHeight="1">
      <c r="C950" s="88"/>
      <c r="O950" s="89"/>
    </row>
    <row r="951" spans="3:15" ht="15.75" customHeight="1">
      <c r="C951" s="88"/>
      <c r="O951" s="89"/>
    </row>
    <row r="952" spans="3:15" ht="15.75" customHeight="1">
      <c r="C952" s="88"/>
      <c r="O952" s="89"/>
    </row>
    <row r="953" spans="3:15" ht="15.75" customHeight="1">
      <c r="C953" s="88"/>
      <c r="O953" s="89"/>
    </row>
    <row r="954" spans="3:15" ht="15.75" customHeight="1">
      <c r="C954" s="88"/>
      <c r="O954" s="89"/>
    </row>
    <row r="955" spans="3:15" ht="15.75" customHeight="1">
      <c r="C955" s="88"/>
      <c r="O955" s="89"/>
    </row>
    <row r="956" spans="3:15" ht="15.75" customHeight="1">
      <c r="C956" s="88"/>
      <c r="O956" s="89"/>
    </row>
    <row r="957" spans="3:15" ht="15.75" customHeight="1">
      <c r="C957" s="88"/>
      <c r="O957" s="89"/>
    </row>
    <row r="958" spans="3:15" ht="15.75" customHeight="1">
      <c r="C958" s="88"/>
      <c r="O958" s="89"/>
    </row>
    <row r="959" spans="3:15" ht="15.75" customHeight="1">
      <c r="C959" s="88"/>
      <c r="O959" s="89"/>
    </row>
    <row r="960" spans="3:15" ht="15.75" customHeight="1">
      <c r="C960" s="88"/>
      <c r="O960" s="89"/>
    </row>
    <row r="961" spans="3:15" ht="15.75" customHeight="1">
      <c r="C961" s="88"/>
      <c r="O961" s="89"/>
    </row>
    <row r="962" spans="3:15" ht="15.75" customHeight="1">
      <c r="C962" s="88"/>
      <c r="O962" s="89"/>
    </row>
    <row r="963" spans="3:15" ht="15.75" customHeight="1">
      <c r="C963" s="88"/>
      <c r="O963" s="89"/>
    </row>
    <row r="964" spans="3:15" ht="15.75" customHeight="1">
      <c r="C964" s="88"/>
      <c r="O964" s="89"/>
    </row>
    <row r="965" spans="3:15" ht="15.75" customHeight="1">
      <c r="C965" s="88"/>
      <c r="O965" s="89"/>
    </row>
    <row r="966" spans="3:15" ht="15.75" customHeight="1">
      <c r="C966" s="88"/>
      <c r="O966" s="89"/>
    </row>
    <row r="967" spans="3:15" ht="15.75" customHeight="1">
      <c r="C967" s="88"/>
      <c r="O967" s="89"/>
    </row>
    <row r="968" spans="3:15" ht="15.75" customHeight="1">
      <c r="C968" s="88"/>
      <c r="O968" s="89"/>
    </row>
    <row r="969" spans="3:15" ht="15.75" customHeight="1">
      <c r="C969" s="88"/>
      <c r="O969" s="89"/>
    </row>
    <row r="970" spans="3:15" ht="15.75" customHeight="1">
      <c r="C970" s="88"/>
      <c r="O970" s="89"/>
    </row>
    <row r="971" spans="3:15" ht="15.75" customHeight="1">
      <c r="C971" s="88"/>
      <c r="O971" s="89"/>
    </row>
    <row r="972" spans="3:15" ht="15.75" customHeight="1">
      <c r="C972" s="88"/>
      <c r="O972" s="89"/>
    </row>
    <row r="973" spans="3:15" ht="15.75" customHeight="1">
      <c r="C973" s="88"/>
      <c r="O973" s="89"/>
    </row>
    <row r="974" spans="3:15" ht="15.75" customHeight="1">
      <c r="C974" s="88"/>
      <c r="O974" s="89"/>
    </row>
    <row r="975" spans="3:15" ht="15.75" customHeight="1">
      <c r="C975" s="88"/>
      <c r="O975" s="89"/>
    </row>
    <row r="976" spans="3:15" ht="15.75" customHeight="1">
      <c r="C976" s="88"/>
      <c r="O976" s="89"/>
    </row>
    <row r="977" spans="3:15" ht="15.75" customHeight="1">
      <c r="C977" s="88"/>
      <c r="O977" s="89"/>
    </row>
    <row r="978" spans="3:15" ht="15.75" customHeight="1">
      <c r="C978" s="88"/>
      <c r="O978" s="89"/>
    </row>
    <row r="979" spans="3:15" ht="15.75" customHeight="1">
      <c r="C979" s="88"/>
      <c r="O979" s="89"/>
    </row>
    <row r="980" spans="3:15" ht="15.75" customHeight="1">
      <c r="C980" s="88"/>
      <c r="O980" s="89"/>
    </row>
    <row r="981" spans="3:15" ht="15.75" customHeight="1">
      <c r="C981" s="88"/>
      <c r="O981" s="89"/>
    </row>
    <row r="982" spans="3:15" ht="15.75" customHeight="1">
      <c r="C982" s="88"/>
      <c r="O982" s="89"/>
    </row>
    <row r="983" spans="3:15" ht="15.75" customHeight="1">
      <c r="C983" s="88"/>
      <c r="O983" s="89"/>
    </row>
    <row r="984" spans="3:15" ht="15.75" customHeight="1">
      <c r="C984" s="88"/>
      <c r="O984" s="89"/>
    </row>
    <row r="985" spans="3:15" ht="15.75" customHeight="1">
      <c r="C985" s="88"/>
      <c r="O985" s="89"/>
    </row>
    <row r="986" spans="3:15" ht="15.75" customHeight="1">
      <c r="C986" s="88"/>
      <c r="O986" s="89"/>
    </row>
    <row r="987" spans="3:15" ht="15.75" customHeight="1">
      <c r="C987" s="88"/>
      <c r="O987" s="89"/>
    </row>
    <row r="988" spans="3:15" ht="15.75" customHeight="1">
      <c r="C988" s="88"/>
      <c r="O988" s="89"/>
    </row>
    <row r="989" spans="3:15" ht="15.75" customHeight="1">
      <c r="C989" s="88"/>
      <c r="O989" s="89"/>
    </row>
    <row r="990" spans="3:15" ht="15.75" customHeight="1">
      <c r="C990" s="88"/>
      <c r="O990" s="89"/>
    </row>
    <row r="991" spans="3:15" ht="15.75" customHeight="1">
      <c r="C991" s="88"/>
      <c r="O991" s="89"/>
    </row>
    <row r="992" spans="3:15" ht="15.75" customHeight="1">
      <c r="C992" s="88"/>
      <c r="O992" s="89"/>
    </row>
    <row r="993" spans="3:15" ht="15.75" customHeight="1">
      <c r="C993" s="88"/>
      <c r="O993" s="89"/>
    </row>
    <row r="994" spans="3:15" ht="15.75" customHeight="1">
      <c r="C994" s="88"/>
      <c r="O994" s="89"/>
    </row>
    <row r="995" spans="3:15" ht="15.75" customHeight="1">
      <c r="C995" s="88"/>
      <c r="O995" s="89"/>
    </row>
    <row r="996" spans="3:15" ht="15.75" customHeight="1">
      <c r="C996" s="88"/>
      <c r="O996" s="89"/>
    </row>
    <row r="997" spans="3:15" ht="15.75" customHeight="1">
      <c r="C997" s="88"/>
      <c r="O997" s="89"/>
    </row>
    <row r="998" spans="3:15" ht="15.75" customHeight="1">
      <c r="C998" s="88"/>
      <c r="O998" s="89"/>
    </row>
    <row r="999" spans="3:15" ht="15.75" customHeight="1">
      <c r="C999" s="88"/>
      <c r="O999" s="89"/>
    </row>
    <row r="1000" spans="3:15" ht="15.75" customHeight="1">
      <c r="C1000" s="88"/>
      <c r="O1000" s="89"/>
    </row>
  </sheetData>
  <mergeCells count="65">
    <mergeCell ref="Z263:Z264"/>
    <mergeCell ref="E328:E329"/>
    <mergeCell ref="E343:E344"/>
    <mergeCell ref="E355:E356"/>
    <mergeCell ref="S254:S255"/>
    <mergeCell ref="T254:T255"/>
    <mergeCell ref="U254:U255"/>
    <mergeCell ref="E254:E255"/>
    <mergeCell ref="G254:G255"/>
    <mergeCell ref="H254:H255"/>
    <mergeCell ref="I254:I255"/>
    <mergeCell ref="K254:M255"/>
    <mergeCell ref="R254:R255"/>
    <mergeCell ref="C263:C264"/>
    <mergeCell ref="E263:E264"/>
    <mergeCell ref="I263:I264"/>
    <mergeCell ref="R263:R264"/>
    <mergeCell ref="U263:U264"/>
    <mergeCell ref="S238:U239"/>
    <mergeCell ref="S172:U173"/>
    <mergeCell ref="C223:C224"/>
    <mergeCell ref="E223:E224"/>
    <mergeCell ref="G223:I224"/>
    <mergeCell ref="K223:M224"/>
    <mergeCell ref="R223:R224"/>
    <mergeCell ref="S223:U224"/>
    <mergeCell ref="R172:R173"/>
    <mergeCell ref="C238:C239"/>
    <mergeCell ref="E238:E239"/>
    <mergeCell ref="G238:I239"/>
    <mergeCell ref="K238:M239"/>
    <mergeCell ref="R238:R239"/>
    <mergeCell ref="A172:A173"/>
    <mergeCell ref="C172:C173"/>
    <mergeCell ref="E172:E173"/>
    <mergeCell ref="G172:I173"/>
    <mergeCell ref="K172:M173"/>
    <mergeCell ref="S74:U75"/>
    <mergeCell ref="A124:A125"/>
    <mergeCell ref="C124:C125"/>
    <mergeCell ref="E124:E125"/>
    <mergeCell ref="G124:I125"/>
    <mergeCell ref="K124:M125"/>
    <mergeCell ref="R124:R125"/>
    <mergeCell ref="S124:U125"/>
    <mergeCell ref="A74:A75"/>
    <mergeCell ref="C74:C75"/>
    <mergeCell ref="E74:E75"/>
    <mergeCell ref="G74:I75"/>
    <mergeCell ref="K74:M75"/>
    <mergeCell ref="R74:R75"/>
    <mergeCell ref="S4:U5"/>
    <mergeCell ref="A37:A38"/>
    <mergeCell ref="C37:C38"/>
    <mergeCell ref="E37:E38"/>
    <mergeCell ref="G37:I38"/>
    <mergeCell ref="K37:M38"/>
    <mergeCell ref="R37:R38"/>
    <mergeCell ref="S37:U38"/>
    <mergeCell ref="A4:A5"/>
    <mergeCell ref="C4:C5"/>
    <mergeCell ref="E4:E5"/>
    <mergeCell ref="G4:I5"/>
    <mergeCell ref="K4:M5"/>
    <mergeCell ref="R4:R5"/>
  </mergeCells>
  <pageMargins left="0.70866141732283472" right="0.70866141732283472" top="0.74803149606299213" bottom="0.74803149606299213" header="0" footer="0"/>
  <pageSetup paperSize="9" fitToHeight="0" orientation="landscape" r:id="rId1"/>
  <headerFooter>
    <oddHeader>&amp;R860000CIERRE PRESUPUESTARIO PROVISIONAL SEPTIEMBRE 2017 - PRESUPUESTO  2018000000 000000HOJA &amp;P/</oddHeader>
    <oddFooter>&amp;R860000C.O.A.L.Z. COLEGIO OFICIAL DE ARQUITECTOS DE LANZAROTE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98"/>
  <sheetViews>
    <sheetView showGridLines="0" topLeftCell="B28" zoomScale="150" zoomScaleNormal="244" zoomScalePageLayoutView="244" workbookViewId="0">
      <selection activeCell="F50" sqref="F45:F50"/>
    </sheetView>
  </sheetViews>
  <sheetFormatPr baseColWidth="10" defaultColWidth="14.42578125" defaultRowHeight="15" customHeight="1"/>
  <cols>
    <col min="1" max="1" width="13.140625" hidden="1" customWidth="1"/>
    <col min="2" max="2" width="2.28515625" customWidth="1"/>
    <col min="3" max="3" width="11.28515625" customWidth="1"/>
    <col min="4" max="4" width="1.42578125" customWidth="1"/>
    <col min="5" max="5" width="50.7109375" customWidth="1"/>
    <col min="6" max="6" width="22.85546875" style="230" customWidth="1"/>
    <col min="7" max="7" width="23.140625" style="239" customWidth="1"/>
    <col min="8" max="8" width="16.7109375" style="266" customWidth="1"/>
    <col min="9" max="9" width="23" customWidth="1"/>
    <col min="10" max="14" width="11.42578125" customWidth="1"/>
  </cols>
  <sheetData>
    <row r="1" spans="1:14" ht="12.75">
      <c r="A1" s="1"/>
      <c r="B1" s="1"/>
      <c r="C1" s="2"/>
      <c r="D1" s="1"/>
      <c r="E1" s="1"/>
      <c r="F1" s="223"/>
      <c r="G1" s="237"/>
      <c r="H1" s="258"/>
      <c r="I1" s="1"/>
      <c r="J1" s="1"/>
      <c r="K1" s="1"/>
      <c r="L1" s="1"/>
      <c r="M1" s="1"/>
      <c r="N1" s="1"/>
    </row>
    <row r="2" spans="1:14" ht="12.75">
      <c r="A2" s="1"/>
      <c r="B2" s="1"/>
      <c r="C2" s="2"/>
      <c r="D2" s="1"/>
      <c r="E2" s="1"/>
      <c r="F2" s="223"/>
      <c r="G2" s="237"/>
      <c r="H2" s="258"/>
      <c r="I2" s="1"/>
      <c r="J2" s="1"/>
      <c r="K2" s="1"/>
      <c r="L2" s="1"/>
      <c r="M2" s="1"/>
      <c r="N2" s="1"/>
    </row>
    <row r="3" spans="1:14" ht="13.5" customHeight="1" thickBot="1">
      <c r="A3" s="7"/>
      <c r="B3" s="7"/>
      <c r="C3" s="8"/>
      <c r="D3" s="7"/>
      <c r="E3" s="7"/>
      <c r="F3" s="223"/>
      <c r="G3" s="238"/>
      <c r="H3" s="259"/>
      <c r="I3" s="7"/>
      <c r="J3" s="7"/>
      <c r="K3" s="7"/>
      <c r="L3" s="7"/>
      <c r="M3" s="1"/>
      <c r="N3" s="1"/>
    </row>
    <row r="4" spans="1:14" ht="12.75" customHeight="1">
      <c r="A4" s="396" t="s">
        <v>1</v>
      </c>
      <c r="B4" s="10"/>
      <c r="C4" s="422" t="s">
        <v>2</v>
      </c>
      <c r="D4" s="11"/>
      <c r="E4" s="423" t="s">
        <v>3</v>
      </c>
      <c r="F4" s="224"/>
      <c r="H4" s="259"/>
      <c r="I4" s="7"/>
      <c r="J4" s="7"/>
      <c r="K4" s="14"/>
      <c r="L4" s="14"/>
      <c r="M4" s="15"/>
      <c r="N4" s="15"/>
    </row>
    <row r="5" spans="1:14" ht="27.75" customHeight="1" thickBot="1">
      <c r="A5" s="397"/>
      <c r="B5" s="10"/>
      <c r="C5" s="410"/>
      <c r="D5" s="14"/>
      <c r="E5" s="424"/>
      <c r="F5" s="225"/>
      <c r="G5" s="240"/>
      <c r="H5" s="259"/>
      <c r="I5" s="7"/>
      <c r="J5" s="7"/>
      <c r="K5" s="14"/>
      <c r="L5" s="14"/>
      <c r="M5" s="15"/>
      <c r="N5" s="15"/>
    </row>
    <row r="6" spans="1:14" ht="6" customHeight="1">
      <c r="A6" s="18"/>
      <c r="B6" s="18"/>
      <c r="C6" s="18"/>
      <c r="D6" s="7"/>
      <c r="E6" s="18"/>
      <c r="F6" s="223"/>
      <c r="G6" s="238"/>
      <c r="H6" s="259"/>
      <c r="I6" s="7"/>
      <c r="J6" s="7"/>
      <c r="K6" s="7"/>
      <c r="L6" s="7"/>
      <c r="M6" s="1"/>
      <c r="N6" s="1"/>
    </row>
    <row r="7" spans="1:14" ht="13.5" customHeight="1" thickBot="1">
      <c r="A7" s="21"/>
      <c r="B7" s="21"/>
      <c r="C7" s="22"/>
      <c r="D7" s="21"/>
      <c r="E7" s="21"/>
      <c r="F7" s="226"/>
      <c r="G7" s="241"/>
      <c r="H7" s="259"/>
      <c r="I7" s="7"/>
      <c r="J7" s="7"/>
      <c r="K7" s="21"/>
      <c r="L7" s="21"/>
      <c r="M7" s="25"/>
      <c r="N7" s="25"/>
    </row>
    <row r="8" spans="1:14" ht="17.25" customHeight="1" thickTop="1" thickBot="1">
      <c r="A8" s="26"/>
      <c r="B8" s="26"/>
      <c r="C8" s="27">
        <v>1</v>
      </c>
      <c r="D8" s="28"/>
      <c r="E8" s="29" t="s">
        <v>9</v>
      </c>
      <c r="F8" s="227"/>
      <c r="G8" s="242"/>
      <c r="H8" s="259"/>
      <c r="I8" s="7"/>
      <c r="J8" s="7"/>
      <c r="K8" s="35"/>
      <c r="L8" s="35"/>
      <c r="M8" s="1"/>
      <c r="N8" s="1"/>
    </row>
    <row r="9" spans="1:14" ht="12.75" customHeight="1" thickTop="1">
      <c r="A9" s="7"/>
      <c r="B9" s="7"/>
      <c r="C9" s="8"/>
      <c r="D9" s="7"/>
      <c r="E9" s="7"/>
      <c r="F9" s="223"/>
      <c r="G9" s="238"/>
      <c r="H9" s="259"/>
      <c r="I9" s="7"/>
      <c r="J9" s="7"/>
      <c r="K9" s="7"/>
      <c r="L9" s="7"/>
      <c r="M9" s="1"/>
      <c r="N9" s="1"/>
    </row>
    <row r="10" spans="1:14" ht="12.75" customHeight="1">
      <c r="A10" s="11"/>
      <c r="B10" s="11"/>
      <c r="C10" s="36">
        <v>11</v>
      </c>
      <c r="D10" s="14"/>
      <c r="E10" s="14" t="s">
        <v>10</v>
      </c>
      <c r="F10" s="225"/>
      <c r="G10" s="240"/>
      <c r="H10" s="259"/>
      <c r="I10" s="7"/>
      <c r="J10" s="7"/>
      <c r="K10" s="14"/>
      <c r="L10" s="14"/>
      <c r="M10" s="1"/>
      <c r="N10" s="1"/>
    </row>
    <row r="11" spans="1:14" ht="6" customHeight="1"/>
    <row r="12" spans="1:14" ht="11.25" customHeight="1">
      <c r="A12" s="49"/>
      <c r="B12" s="49"/>
      <c r="C12" s="22">
        <v>111</v>
      </c>
      <c r="D12" s="21"/>
      <c r="E12" s="50" t="s">
        <v>305</v>
      </c>
      <c r="F12" s="226"/>
      <c r="G12" s="241"/>
      <c r="H12" s="261"/>
      <c r="I12" s="49"/>
      <c r="J12" s="1"/>
      <c r="K12" s="21"/>
      <c r="L12" s="21"/>
      <c r="M12" s="1"/>
      <c r="N12" s="1"/>
    </row>
    <row r="13" spans="1:14" ht="11.25" customHeight="1">
      <c r="A13" s="49">
        <v>6400002</v>
      </c>
      <c r="B13" s="49"/>
      <c r="C13" s="22" t="s">
        <v>364</v>
      </c>
      <c r="D13" s="21"/>
      <c r="E13" s="21" t="s">
        <v>306</v>
      </c>
      <c r="F13" s="275" t="s">
        <v>267</v>
      </c>
      <c r="G13" s="241"/>
      <c r="H13" s="261"/>
      <c r="I13" s="49"/>
      <c r="J13" s="1"/>
      <c r="K13" s="21"/>
      <c r="L13" s="21"/>
      <c r="M13" s="1"/>
      <c r="N13" s="1"/>
    </row>
    <row r="14" spans="1:14" ht="11.25" customHeight="1">
      <c r="A14" s="49">
        <v>6400002</v>
      </c>
      <c r="B14" s="49"/>
      <c r="C14" s="22" t="s">
        <v>365</v>
      </c>
      <c r="D14" s="21"/>
      <c r="E14" s="21" t="s">
        <v>334</v>
      </c>
      <c r="F14" s="275" t="s">
        <v>267</v>
      </c>
      <c r="G14" s="241"/>
      <c r="H14" s="261"/>
      <c r="I14" s="49"/>
      <c r="J14" s="1"/>
      <c r="K14" s="21"/>
      <c r="L14" s="21"/>
      <c r="M14" s="1"/>
      <c r="N14" s="1"/>
    </row>
    <row r="15" spans="1:14" ht="6" customHeight="1">
      <c r="A15" s="7"/>
      <c r="B15" s="7"/>
      <c r="C15" s="8"/>
      <c r="D15" s="7"/>
      <c r="E15" s="42"/>
      <c r="F15" s="290"/>
      <c r="G15" s="238"/>
      <c r="H15" s="260"/>
      <c r="I15" s="7"/>
      <c r="J15" s="7"/>
      <c r="K15" s="7"/>
      <c r="L15" s="7"/>
      <c r="M15" s="1"/>
      <c r="N15" s="1"/>
    </row>
    <row r="16" spans="1:14" ht="11.25" customHeight="1">
      <c r="A16" s="49"/>
      <c r="B16" s="49"/>
      <c r="C16" s="22">
        <v>112</v>
      </c>
      <c r="D16" s="21"/>
      <c r="E16" s="50" t="s">
        <v>11</v>
      </c>
      <c r="F16" s="275"/>
      <c r="G16" s="241"/>
      <c r="H16" s="261"/>
      <c r="I16" s="49"/>
      <c r="J16" s="1"/>
      <c r="K16" s="21"/>
      <c r="L16" s="21"/>
      <c r="M16" s="1"/>
      <c r="N16" s="1"/>
    </row>
    <row r="17" spans="1:14" ht="11.25" customHeight="1">
      <c r="A17" s="49">
        <v>6400009</v>
      </c>
      <c r="B17" s="49"/>
      <c r="C17" s="22" t="s">
        <v>373</v>
      </c>
      <c r="D17" s="57"/>
      <c r="E17" s="21" t="s">
        <v>13</v>
      </c>
      <c r="F17" s="275" t="s">
        <v>266</v>
      </c>
      <c r="G17" s="243"/>
      <c r="H17" s="261"/>
      <c r="I17" s="49"/>
      <c r="J17" s="1"/>
      <c r="K17" s="21"/>
      <c r="L17" s="21"/>
      <c r="M17" s="1"/>
      <c r="N17" s="1"/>
    </row>
    <row r="18" spans="1:14" ht="11.25" customHeight="1">
      <c r="A18" s="49"/>
      <c r="B18" s="49"/>
      <c r="C18" s="22"/>
      <c r="D18" s="21"/>
      <c r="E18" s="21"/>
      <c r="F18" s="275"/>
      <c r="G18" s="241"/>
      <c r="H18" s="261"/>
      <c r="I18" s="49"/>
      <c r="J18" s="1"/>
      <c r="K18" s="21"/>
      <c r="L18" s="21"/>
      <c r="M18" s="1"/>
      <c r="N18" s="1"/>
    </row>
    <row r="19" spans="1:14" ht="11.25" customHeight="1">
      <c r="A19" s="49"/>
      <c r="B19" s="49"/>
      <c r="C19" s="22">
        <v>113</v>
      </c>
      <c r="D19" s="1"/>
      <c r="E19" s="50" t="s">
        <v>304</v>
      </c>
      <c r="F19" s="290"/>
      <c r="G19" s="237"/>
      <c r="H19" s="261"/>
      <c r="I19" s="49"/>
      <c r="J19" s="1"/>
      <c r="K19" s="21"/>
      <c r="L19" s="21"/>
      <c r="M19" s="1"/>
      <c r="N19" s="1"/>
    </row>
    <row r="20" spans="1:14" ht="11.25" customHeight="1">
      <c r="A20" s="49">
        <v>6400001</v>
      </c>
      <c r="B20" s="49"/>
      <c r="C20" s="22" t="s">
        <v>366</v>
      </c>
      <c r="D20" s="21"/>
      <c r="E20" s="21" t="s">
        <v>358</v>
      </c>
      <c r="F20" s="275" t="s">
        <v>318</v>
      </c>
      <c r="G20" s="244"/>
      <c r="H20" s="261"/>
      <c r="I20" s="49"/>
      <c r="J20" s="1"/>
      <c r="K20" s="21"/>
      <c r="L20" s="21"/>
      <c r="M20" s="1"/>
      <c r="N20" s="1"/>
    </row>
    <row r="21" spans="1:14" ht="11.25" customHeight="1">
      <c r="A21" s="49">
        <v>6400001</v>
      </c>
      <c r="B21" s="49"/>
      <c r="C21" s="22" t="s">
        <v>367</v>
      </c>
      <c r="D21" s="21"/>
      <c r="E21" s="21" t="s">
        <v>268</v>
      </c>
      <c r="F21" s="275" t="s">
        <v>317</v>
      </c>
      <c r="G21" s="244"/>
      <c r="H21" s="261"/>
      <c r="I21" s="49"/>
      <c r="J21" s="1"/>
      <c r="K21" s="21"/>
      <c r="L21" s="21"/>
      <c r="M21" s="1"/>
      <c r="N21" s="1"/>
    </row>
    <row r="22" spans="1:14" ht="11.25" customHeight="1">
      <c r="A22" s="49"/>
      <c r="B22" s="49"/>
      <c r="C22" s="22"/>
      <c r="D22" s="21"/>
      <c r="E22" s="21"/>
      <c r="F22" s="275"/>
      <c r="G22" s="241"/>
      <c r="H22" s="261"/>
      <c r="I22" s="49"/>
      <c r="J22" s="1"/>
      <c r="K22" s="21"/>
      <c r="L22" s="21"/>
      <c r="M22" s="1"/>
      <c r="N22" s="1"/>
    </row>
    <row r="23" spans="1:14" ht="11.25" customHeight="1">
      <c r="A23" s="49"/>
      <c r="B23" s="49"/>
      <c r="C23" s="22">
        <v>114</v>
      </c>
      <c r="D23" s="21"/>
      <c r="E23" s="50" t="s">
        <v>319</v>
      </c>
      <c r="F23" s="275"/>
      <c r="G23" s="241"/>
      <c r="H23" s="261"/>
      <c r="I23" s="49"/>
      <c r="J23" s="1"/>
      <c r="K23" s="21"/>
      <c r="L23" s="21"/>
      <c r="M23" s="1"/>
      <c r="N23" s="1"/>
    </row>
    <row r="24" spans="1:14" ht="11.25" customHeight="1">
      <c r="A24" s="49">
        <v>6400001</v>
      </c>
      <c r="B24" s="49"/>
      <c r="C24" s="22" t="s">
        <v>368</v>
      </c>
      <c r="D24" s="21"/>
      <c r="E24" s="21" t="s">
        <v>359</v>
      </c>
      <c r="F24" s="275" t="s">
        <v>361</v>
      </c>
      <c r="G24" s="244"/>
      <c r="H24" s="261"/>
      <c r="I24" s="49"/>
      <c r="J24" s="1"/>
      <c r="K24" s="21"/>
      <c r="L24" s="21"/>
      <c r="M24" s="1"/>
      <c r="N24" s="1"/>
    </row>
    <row r="25" spans="1:14" ht="11.25" customHeight="1">
      <c r="A25" s="49">
        <v>6400001</v>
      </c>
      <c r="B25" s="49"/>
      <c r="C25" s="22" t="s">
        <v>369</v>
      </c>
      <c r="D25" s="21"/>
      <c r="E25" s="21" t="s">
        <v>360</v>
      </c>
      <c r="F25" s="275" t="s">
        <v>362</v>
      </c>
      <c r="G25" s="244"/>
      <c r="H25" s="261"/>
      <c r="I25" s="49"/>
      <c r="J25" s="1"/>
      <c r="K25" s="21"/>
      <c r="L25" s="21"/>
      <c r="M25" s="1"/>
      <c r="N25" s="1"/>
    </row>
    <row r="26" spans="1:14" ht="11.25" customHeight="1">
      <c r="A26" s="49"/>
      <c r="B26" s="49"/>
      <c r="C26" s="22"/>
      <c r="D26" s="57"/>
      <c r="E26" s="21"/>
      <c r="F26" s="275"/>
      <c r="G26" s="243"/>
      <c r="H26" s="261"/>
      <c r="I26" s="49"/>
      <c r="J26" s="1"/>
      <c r="K26" s="21"/>
      <c r="L26" s="21"/>
      <c r="M26" s="1"/>
      <c r="N26" s="1"/>
    </row>
    <row r="27" spans="1:14" ht="12.75" customHeight="1">
      <c r="A27" s="7"/>
      <c r="B27" s="7"/>
      <c r="C27" s="36">
        <v>12</v>
      </c>
      <c r="D27" s="7"/>
      <c r="E27" s="14" t="s">
        <v>336</v>
      </c>
      <c r="F27" s="290"/>
      <c r="G27" s="238"/>
      <c r="H27" s="260"/>
      <c r="I27" s="11"/>
      <c r="J27" s="1"/>
      <c r="K27" s="7"/>
      <c r="L27" s="7"/>
      <c r="M27" s="1"/>
      <c r="N27" s="1"/>
    </row>
    <row r="28" spans="1:14" ht="6" customHeight="1">
      <c r="A28" s="49"/>
      <c r="B28" s="49"/>
      <c r="C28" s="22"/>
      <c r="D28" s="21"/>
      <c r="E28" s="21"/>
      <c r="F28" s="275"/>
      <c r="G28" s="241"/>
      <c r="H28" s="261"/>
      <c r="I28" s="49"/>
      <c r="J28" s="1"/>
      <c r="K28" s="21"/>
      <c r="L28" s="21"/>
      <c r="M28" s="1"/>
      <c r="N28" s="1"/>
    </row>
    <row r="29" spans="1:14" ht="11.25" customHeight="1">
      <c r="A29" s="49">
        <v>649</v>
      </c>
      <c r="B29" s="49"/>
      <c r="C29" s="22">
        <v>120</v>
      </c>
      <c r="D29" s="21"/>
      <c r="E29" s="50" t="s">
        <v>28</v>
      </c>
      <c r="F29" s="275"/>
      <c r="G29" s="241"/>
      <c r="H29" s="261"/>
      <c r="I29" s="49"/>
      <c r="J29" s="1"/>
      <c r="K29" s="21"/>
      <c r="L29" s="21"/>
      <c r="M29" s="1"/>
      <c r="N29" s="1"/>
    </row>
    <row r="30" spans="1:14" ht="11.25" customHeight="1">
      <c r="A30" s="49">
        <v>6490001</v>
      </c>
      <c r="B30" s="49"/>
      <c r="C30" s="22" t="s">
        <v>370</v>
      </c>
      <c r="D30" s="21"/>
      <c r="E30" s="21" t="s">
        <v>269</v>
      </c>
      <c r="F30" s="275" t="s">
        <v>272</v>
      </c>
      <c r="G30" s="241"/>
      <c r="H30" s="261"/>
      <c r="I30" s="49"/>
      <c r="J30" s="1"/>
      <c r="K30" s="21"/>
      <c r="L30" s="21"/>
      <c r="M30" s="1"/>
      <c r="N30" s="1"/>
    </row>
    <row r="31" spans="1:14" ht="11.25" customHeight="1">
      <c r="A31" s="49">
        <v>6490002</v>
      </c>
      <c r="B31" s="49"/>
      <c r="C31" s="22" t="s">
        <v>371</v>
      </c>
      <c r="D31" s="21"/>
      <c r="E31" s="21" t="s">
        <v>270</v>
      </c>
      <c r="F31" s="275" t="s">
        <v>335</v>
      </c>
      <c r="G31" s="241"/>
      <c r="H31" s="261"/>
      <c r="I31" s="49"/>
      <c r="J31" s="1"/>
      <c r="K31" s="21"/>
      <c r="L31" s="21"/>
      <c r="M31" s="1"/>
      <c r="N31" s="1"/>
    </row>
    <row r="32" spans="1:14" ht="11.25" customHeight="1">
      <c r="A32" s="49">
        <v>6490004</v>
      </c>
      <c r="B32" s="49"/>
      <c r="C32" s="22" t="s">
        <v>372</v>
      </c>
      <c r="D32" s="21"/>
      <c r="E32" s="21" t="s">
        <v>271</v>
      </c>
      <c r="F32" s="226"/>
      <c r="G32" s="241"/>
      <c r="H32" s="261"/>
      <c r="I32" s="49"/>
      <c r="J32" s="1"/>
      <c r="K32" s="21"/>
      <c r="L32" s="21"/>
      <c r="M32" s="1"/>
      <c r="N32" s="1"/>
    </row>
    <row r="33" spans="1:14" ht="9.75" customHeight="1">
      <c r="A33" s="49"/>
      <c r="B33" s="49"/>
      <c r="C33" s="22"/>
      <c r="D33" s="21"/>
      <c r="E33" s="21"/>
      <c r="F33" s="226"/>
      <c r="G33" s="241"/>
      <c r="H33" s="261"/>
      <c r="I33" s="49"/>
      <c r="J33" s="1"/>
      <c r="K33" s="21"/>
      <c r="L33" s="21"/>
      <c r="M33" s="1"/>
      <c r="N33" s="1"/>
    </row>
    <row r="34" spans="1:14" ht="15.75" customHeight="1">
      <c r="A34" s="49"/>
      <c r="B34" s="49"/>
      <c r="C34" s="22"/>
      <c r="D34" s="21"/>
      <c r="E34" s="21"/>
      <c r="F34" s="226"/>
      <c r="G34" s="241"/>
      <c r="H34" s="261"/>
      <c r="I34" s="49"/>
      <c r="J34" s="66"/>
      <c r="K34" s="21"/>
      <c r="L34" s="21"/>
      <c r="M34" s="1"/>
      <c r="N34" s="1"/>
    </row>
    <row r="35" spans="1:14" ht="6.75" customHeight="1">
      <c r="A35" s="49"/>
      <c r="B35" s="49"/>
      <c r="C35" s="22"/>
      <c r="D35" s="21"/>
      <c r="E35" s="21"/>
      <c r="F35" s="226"/>
      <c r="G35" s="241"/>
      <c r="H35" s="261"/>
      <c r="I35" s="49"/>
      <c r="J35" s="66"/>
      <c r="K35" s="21"/>
      <c r="L35" s="21"/>
      <c r="M35" s="1"/>
      <c r="N35" s="1"/>
    </row>
    <row r="36" spans="1:14" ht="13.5" customHeight="1" thickBot="1">
      <c r="A36" s="21"/>
      <c r="B36" s="21"/>
      <c r="C36" s="22"/>
      <c r="D36" s="21"/>
      <c r="E36" s="21"/>
      <c r="F36" s="226"/>
      <c r="G36" s="241"/>
      <c r="H36" s="261"/>
      <c r="I36" s="49"/>
      <c r="J36" s="49"/>
      <c r="K36" s="21"/>
      <c r="L36" s="21"/>
      <c r="M36" s="25"/>
      <c r="N36" s="25"/>
    </row>
    <row r="37" spans="1:14" ht="12.75" customHeight="1">
      <c r="A37" s="396" t="s">
        <v>1</v>
      </c>
      <c r="B37" s="10"/>
      <c r="C37" s="422" t="s">
        <v>2</v>
      </c>
      <c r="D37" s="11"/>
      <c r="E37" s="423" t="s">
        <v>3</v>
      </c>
      <c r="F37" s="236"/>
      <c r="G37" s="245"/>
      <c r="H37" s="262"/>
      <c r="I37" s="49"/>
      <c r="J37" s="49"/>
      <c r="K37" s="14"/>
      <c r="L37" s="14"/>
      <c r="M37" s="15"/>
      <c r="N37" s="15"/>
    </row>
    <row r="38" spans="1:14" ht="27.75" customHeight="1" thickBot="1">
      <c r="A38" s="397"/>
      <c r="B38" s="10"/>
      <c r="C38" s="410"/>
      <c r="D38" s="14"/>
      <c r="E38" s="424"/>
      <c r="F38" s="225"/>
      <c r="G38" s="240"/>
      <c r="H38" s="263"/>
      <c r="I38" s="49"/>
      <c r="J38" s="49"/>
      <c r="K38" s="14"/>
      <c r="L38" s="14"/>
      <c r="M38" s="15"/>
      <c r="N38" s="15"/>
    </row>
    <row r="39" spans="1:14" ht="4.5" customHeight="1">
      <c r="A39" s="21"/>
      <c r="B39" s="21"/>
      <c r="C39" s="22"/>
      <c r="D39" s="21"/>
      <c r="E39" s="21"/>
      <c r="F39" s="226"/>
      <c r="G39" s="241"/>
      <c r="H39" s="261"/>
      <c r="I39" s="49"/>
      <c r="J39" s="49"/>
      <c r="K39" s="21"/>
      <c r="L39" s="21"/>
      <c r="M39" s="25"/>
      <c r="N39" s="25"/>
    </row>
    <row r="40" spans="1:14" ht="13.5" customHeight="1" thickBot="1">
      <c r="A40" s="21"/>
      <c r="B40" s="21"/>
      <c r="C40" s="22"/>
      <c r="D40" s="21"/>
      <c r="E40" s="21"/>
      <c r="F40" s="226"/>
      <c r="G40" s="241"/>
      <c r="H40" s="261"/>
      <c r="I40" s="49"/>
      <c r="J40" s="49"/>
      <c r="K40" s="21"/>
      <c r="L40" s="21"/>
      <c r="M40" s="25"/>
      <c r="N40" s="25"/>
    </row>
    <row r="41" spans="1:14" ht="17.25" customHeight="1" thickTop="1" thickBot="1">
      <c r="A41" s="26"/>
      <c r="B41" s="26"/>
      <c r="C41" s="27">
        <v>2</v>
      </c>
      <c r="D41" s="28"/>
      <c r="E41" s="29" t="s">
        <v>396</v>
      </c>
      <c r="F41" s="227"/>
      <c r="G41" s="242"/>
      <c r="H41" s="264"/>
      <c r="I41" s="49"/>
      <c r="J41" s="49"/>
      <c r="K41" s="35"/>
      <c r="L41" s="72"/>
      <c r="M41" s="1"/>
      <c r="N41" s="1"/>
    </row>
    <row r="42" spans="1:14" ht="9.75" customHeight="1" thickTop="1">
      <c r="A42" s="7"/>
      <c r="B42" s="7"/>
      <c r="C42" s="8"/>
      <c r="D42" s="7"/>
      <c r="E42" s="7"/>
      <c r="F42" s="223"/>
      <c r="G42" s="238"/>
      <c r="H42" s="260"/>
      <c r="I42" s="7"/>
      <c r="J42" s="1"/>
      <c r="K42" s="7"/>
      <c r="L42" s="7"/>
      <c r="M42" s="1"/>
      <c r="N42" s="1"/>
    </row>
    <row r="43" spans="1:14" ht="12.75" customHeight="1">
      <c r="A43" s="49"/>
      <c r="B43" s="49"/>
      <c r="C43" s="36">
        <v>21</v>
      </c>
      <c r="D43" s="7"/>
      <c r="E43" s="14" t="s">
        <v>39</v>
      </c>
      <c r="F43" s="223"/>
      <c r="G43" s="238"/>
      <c r="H43" s="260"/>
      <c r="I43" s="11"/>
      <c r="J43" s="1"/>
      <c r="K43" s="7"/>
      <c r="L43" s="7"/>
      <c r="M43" s="1"/>
      <c r="N43" s="1"/>
    </row>
    <row r="44" spans="1:14" ht="6" customHeight="1">
      <c r="A44" s="49"/>
      <c r="B44" s="49"/>
      <c r="C44" s="8"/>
      <c r="D44" s="7"/>
      <c r="E44" s="7"/>
      <c r="F44" s="223"/>
      <c r="G44" s="238"/>
      <c r="H44" s="260"/>
      <c r="I44" s="7"/>
      <c r="J44" s="1"/>
      <c r="K44" s="7"/>
      <c r="L44" s="7"/>
      <c r="M44" s="1"/>
      <c r="N44" s="1"/>
    </row>
    <row r="45" spans="1:14" ht="12" customHeight="1">
      <c r="A45" s="49">
        <v>6220001</v>
      </c>
      <c r="B45" s="49"/>
      <c r="C45" s="22">
        <v>211</v>
      </c>
      <c r="D45" s="21"/>
      <c r="E45" s="21" t="s">
        <v>337</v>
      </c>
      <c r="F45" s="57" t="s">
        <v>41</v>
      </c>
      <c r="G45" s="241"/>
      <c r="H45" s="261"/>
      <c r="I45" s="49"/>
      <c r="J45" s="1"/>
      <c r="K45" s="21"/>
      <c r="L45" s="21"/>
      <c r="M45" s="1"/>
      <c r="N45" s="1"/>
    </row>
    <row r="46" spans="1:14" ht="11.25" customHeight="1">
      <c r="A46" s="49">
        <v>6220003</v>
      </c>
      <c r="B46" s="49"/>
      <c r="C46" s="22">
        <v>212</v>
      </c>
      <c r="D46" s="21"/>
      <c r="E46" s="21" t="s">
        <v>338</v>
      </c>
      <c r="F46" s="226" t="s">
        <v>275</v>
      </c>
      <c r="G46" s="241"/>
      <c r="H46" s="261"/>
      <c r="I46" s="49"/>
      <c r="J46" s="1"/>
      <c r="K46" s="21"/>
      <c r="L46" s="21"/>
      <c r="M46" s="1"/>
      <c r="N46" s="1"/>
    </row>
    <row r="47" spans="1:14" ht="11.25" customHeight="1">
      <c r="A47" s="49">
        <v>6220005</v>
      </c>
      <c r="B47" s="49"/>
      <c r="C47" s="22">
        <v>213</v>
      </c>
      <c r="D47" s="21"/>
      <c r="E47" s="21" t="s">
        <v>43</v>
      </c>
      <c r="F47" s="226" t="s">
        <v>294</v>
      </c>
      <c r="G47" s="241"/>
      <c r="H47" s="261"/>
      <c r="I47" s="49"/>
      <c r="J47" s="1"/>
      <c r="K47" s="21"/>
      <c r="L47" s="21"/>
      <c r="M47" s="1"/>
      <c r="N47" s="1"/>
    </row>
    <row r="48" spans="1:14" ht="11.25" customHeight="1">
      <c r="A48" s="49"/>
      <c r="B48" s="49"/>
      <c r="C48" s="22">
        <v>214</v>
      </c>
      <c r="D48" s="21"/>
      <c r="E48" s="21" t="s">
        <v>273</v>
      </c>
      <c r="F48" s="226" t="s">
        <v>274</v>
      </c>
      <c r="G48" s="241"/>
      <c r="H48" s="261"/>
      <c r="I48" s="49"/>
      <c r="J48" s="1"/>
      <c r="K48" s="21"/>
      <c r="L48" s="21"/>
      <c r="M48" s="1"/>
      <c r="N48" s="1"/>
    </row>
    <row r="49" spans="1:14" ht="11.25" customHeight="1">
      <c r="A49" s="49">
        <v>6220005</v>
      </c>
      <c r="B49" s="49"/>
      <c r="C49" s="22">
        <v>215</v>
      </c>
      <c r="D49" s="21"/>
      <c r="E49" s="21" t="s">
        <v>307</v>
      </c>
      <c r="F49" s="226" t="s">
        <v>276</v>
      </c>
      <c r="G49" s="241"/>
      <c r="H49" s="261"/>
      <c r="I49" s="49"/>
      <c r="J49" s="1"/>
      <c r="K49" s="21"/>
      <c r="L49" s="21"/>
      <c r="M49" s="1"/>
      <c r="N49" s="1"/>
    </row>
    <row r="50" spans="1:14" ht="11.25" customHeight="1">
      <c r="A50" s="49"/>
      <c r="B50" s="49"/>
      <c r="C50" s="22">
        <v>216</v>
      </c>
      <c r="D50" s="21"/>
      <c r="E50" s="21" t="s">
        <v>308</v>
      </c>
      <c r="F50" s="226" t="s">
        <v>276</v>
      </c>
      <c r="G50" s="241"/>
      <c r="H50" s="261"/>
      <c r="I50" s="49"/>
      <c r="J50" s="1"/>
      <c r="K50" s="21"/>
      <c r="L50" s="21"/>
      <c r="M50" s="1"/>
      <c r="N50" s="1"/>
    </row>
    <row r="51" spans="1:14" ht="12.75" customHeight="1">
      <c r="A51" s="49"/>
      <c r="B51" s="49"/>
      <c r="C51" s="8"/>
      <c r="D51" s="7"/>
      <c r="E51" s="7"/>
      <c r="F51" s="223"/>
      <c r="G51" s="238"/>
      <c r="H51" s="260"/>
      <c r="I51" s="7"/>
      <c r="J51" s="1"/>
      <c r="K51" s="7"/>
      <c r="L51" s="7"/>
      <c r="M51" s="1"/>
      <c r="N51" s="1"/>
    </row>
    <row r="52" spans="1:14" ht="12.75" customHeight="1">
      <c r="A52" s="49"/>
      <c r="B52" s="49"/>
      <c r="C52" s="36">
        <v>22</v>
      </c>
      <c r="D52" s="7"/>
      <c r="E52" s="14" t="s">
        <v>47</v>
      </c>
      <c r="F52" s="223"/>
      <c r="G52" s="238"/>
      <c r="H52" s="260"/>
      <c r="I52" s="11"/>
      <c r="J52" s="1"/>
      <c r="K52" s="7"/>
      <c r="L52" s="7"/>
      <c r="M52" s="1"/>
      <c r="N52" s="1"/>
    </row>
    <row r="53" spans="1:14" ht="6" customHeight="1">
      <c r="A53" s="49"/>
      <c r="B53" s="49"/>
      <c r="C53" s="8"/>
      <c r="D53" s="7"/>
      <c r="E53" s="7"/>
      <c r="F53" s="223"/>
      <c r="G53" s="238"/>
      <c r="H53" s="260"/>
      <c r="I53" s="7"/>
      <c r="J53" s="1"/>
      <c r="K53" s="7"/>
      <c r="L53" s="7"/>
      <c r="M53" s="1"/>
      <c r="N53" s="1"/>
    </row>
    <row r="54" spans="1:14" ht="11.25" customHeight="1">
      <c r="A54" s="49"/>
      <c r="B54" s="49"/>
      <c r="C54" s="22">
        <v>220</v>
      </c>
      <c r="D54" s="21"/>
      <c r="E54" s="50" t="s">
        <v>48</v>
      </c>
      <c r="F54" s="226"/>
      <c r="G54" s="241"/>
      <c r="H54" s="261"/>
      <c r="I54" s="49"/>
      <c r="J54" s="1"/>
      <c r="K54" s="21"/>
      <c r="L54" s="21"/>
      <c r="M54" s="1"/>
      <c r="N54" s="1"/>
    </row>
    <row r="55" spans="1:14" ht="11.25" customHeight="1">
      <c r="A55" s="49">
        <v>6290001</v>
      </c>
      <c r="B55" s="49"/>
      <c r="C55" s="22" t="s">
        <v>49</v>
      </c>
      <c r="D55" s="21"/>
      <c r="E55" s="21" t="s">
        <v>50</v>
      </c>
      <c r="F55" s="226" t="s">
        <v>48</v>
      </c>
      <c r="G55" s="244"/>
      <c r="H55" s="261"/>
      <c r="I55" s="49"/>
      <c r="J55" s="1"/>
      <c r="K55" s="21"/>
      <c r="L55" s="21"/>
      <c r="M55" s="1"/>
      <c r="N55" s="1"/>
    </row>
    <row r="56" spans="1:14" ht="11.25" customHeight="1">
      <c r="A56" s="49">
        <v>6290002</v>
      </c>
      <c r="B56" s="49"/>
      <c r="C56" s="22" t="s">
        <v>51</v>
      </c>
      <c r="D56" s="21"/>
      <c r="E56" s="21" t="s">
        <v>58</v>
      </c>
      <c r="F56" s="226" t="s">
        <v>277</v>
      </c>
      <c r="G56" s="241"/>
      <c r="H56" s="261"/>
      <c r="I56" s="49"/>
      <c r="J56" s="1"/>
      <c r="K56" s="21"/>
      <c r="L56" s="21"/>
      <c r="M56" s="1"/>
      <c r="N56" s="1"/>
    </row>
    <row r="57" spans="1:14" s="276" customFormat="1" ht="12.75" customHeight="1">
      <c r="A57" s="49">
        <v>6290003</v>
      </c>
      <c r="B57" s="49"/>
      <c r="C57" s="22" t="s">
        <v>53</v>
      </c>
      <c r="D57" s="21"/>
      <c r="E57" s="21" t="s">
        <v>278</v>
      </c>
      <c r="F57" s="275" t="s">
        <v>301</v>
      </c>
      <c r="G57" s="241"/>
      <c r="H57" s="265"/>
      <c r="I57" s="49"/>
      <c r="J57" s="7"/>
      <c r="K57" s="21"/>
      <c r="L57" s="21"/>
      <c r="M57" s="7"/>
      <c r="N57" s="7"/>
    </row>
    <row r="58" spans="1:14" ht="11.25" customHeight="1">
      <c r="A58" s="49">
        <v>6290004</v>
      </c>
      <c r="B58" s="49"/>
      <c r="C58" s="22" t="s">
        <v>55</v>
      </c>
      <c r="D58" s="21"/>
      <c r="E58" s="21" t="s">
        <v>279</v>
      </c>
      <c r="F58" s="223"/>
      <c r="G58" s="241"/>
      <c r="H58" s="261"/>
      <c r="I58" s="49"/>
      <c r="J58" s="1"/>
      <c r="K58" s="21"/>
      <c r="L58" s="21"/>
      <c r="M58" s="1"/>
      <c r="N58" s="1"/>
    </row>
    <row r="59" spans="1:14" ht="11.25" customHeight="1">
      <c r="A59" s="49"/>
      <c r="B59" s="49"/>
      <c r="C59" s="22"/>
      <c r="D59" s="21"/>
      <c r="E59" s="57"/>
      <c r="F59" s="226"/>
      <c r="G59" s="241"/>
      <c r="H59" s="261"/>
      <c r="I59" s="49"/>
      <c r="J59" s="1"/>
      <c r="K59" s="21"/>
      <c r="L59" s="21"/>
      <c r="M59" s="1"/>
      <c r="N59" s="1"/>
    </row>
    <row r="60" spans="1:14" ht="11.25" customHeight="1">
      <c r="A60" s="49"/>
      <c r="B60" s="49"/>
      <c r="C60" s="22">
        <v>221</v>
      </c>
      <c r="D60" s="21"/>
      <c r="E60" s="50" t="s">
        <v>59</v>
      </c>
      <c r="F60" s="226"/>
      <c r="G60" s="241"/>
      <c r="H60" s="261"/>
      <c r="I60" s="49"/>
      <c r="J60" s="1"/>
      <c r="K60" s="21"/>
      <c r="L60" s="21"/>
      <c r="M60" s="1"/>
      <c r="N60" s="1"/>
    </row>
    <row r="61" spans="1:14" ht="11.25" customHeight="1">
      <c r="A61" s="49">
        <v>6280001</v>
      </c>
      <c r="B61" s="49"/>
      <c r="C61" s="22" t="s">
        <v>60</v>
      </c>
      <c r="D61" s="21"/>
      <c r="E61" s="21" t="s">
        <v>61</v>
      </c>
      <c r="F61" s="226"/>
      <c r="G61" s="244"/>
      <c r="H61" s="261"/>
      <c r="I61" s="49"/>
      <c r="J61" s="66"/>
      <c r="K61" s="21"/>
      <c r="L61" s="21"/>
      <c r="M61" s="1"/>
      <c r="N61" s="1"/>
    </row>
    <row r="62" spans="1:14" ht="11.25" customHeight="1">
      <c r="A62" s="49">
        <v>6280002</v>
      </c>
      <c r="B62" s="49"/>
      <c r="C62" s="22" t="s">
        <v>62</v>
      </c>
      <c r="D62" s="21"/>
      <c r="E62" s="21" t="s">
        <v>63</v>
      </c>
      <c r="F62" s="226"/>
      <c r="G62" s="241"/>
      <c r="H62" s="261"/>
      <c r="I62" s="49"/>
      <c r="J62" s="66"/>
      <c r="K62" s="21"/>
      <c r="L62" s="21"/>
      <c r="M62" s="1"/>
      <c r="N62" s="1"/>
    </row>
    <row r="63" spans="1:14" ht="11.25" customHeight="1">
      <c r="A63" s="49"/>
      <c r="B63" s="49"/>
      <c r="C63" s="22"/>
      <c r="D63" s="21"/>
      <c r="E63" s="21"/>
      <c r="F63" s="226"/>
      <c r="G63" s="241"/>
      <c r="H63" s="261"/>
      <c r="I63" s="49"/>
      <c r="J63" s="66"/>
      <c r="K63" s="21"/>
      <c r="L63" s="21"/>
      <c r="M63" s="1"/>
      <c r="N63" s="1"/>
    </row>
    <row r="64" spans="1:14" ht="11.25" customHeight="1">
      <c r="A64" s="49"/>
      <c r="B64" s="49"/>
      <c r="C64" s="22">
        <v>222</v>
      </c>
      <c r="D64" s="21"/>
      <c r="E64" s="50" t="s">
        <v>64</v>
      </c>
      <c r="F64" s="226"/>
      <c r="G64" s="241"/>
      <c r="H64" s="261"/>
      <c r="I64" s="49"/>
      <c r="J64" s="66"/>
      <c r="K64" s="21"/>
      <c r="L64" s="21"/>
      <c r="M64" s="1"/>
      <c r="N64" s="1"/>
    </row>
    <row r="65" spans="1:14" ht="11.25" customHeight="1">
      <c r="A65" s="49">
        <v>6290006</v>
      </c>
      <c r="B65" s="49"/>
      <c r="C65" s="22" t="s">
        <v>65</v>
      </c>
      <c r="D65" s="21"/>
      <c r="E65" s="21" t="s">
        <v>66</v>
      </c>
      <c r="F65" s="226"/>
      <c r="G65" s="241"/>
      <c r="H65" s="261"/>
      <c r="I65" s="49"/>
      <c r="J65" s="66"/>
      <c r="K65" s="21"/>
      <c r="L65" s="21"/>
      <c r="M65" s="1"/>
      <c r="N65" s="1"/>
    </row>
    <row r="66" spans="1:14" ht="14.25" customHeight="1">
      <c r="A66" s="49">
        <v>6290007</v>
      </c>
      <c r="B66" s="49"/>
      <c r="C66" s="22" t="s">
        <v>67</v>
      </c>
      <c r="D66" s="21"/>
      <c r="E66" s="21" t="s">
        <v>68</v>
      </c>
      <c r="F66" s="226" t="s">
        <v>280</v>
      </c>
      <c r="G66" s="241"/>
      <c r="H66" s="261"/>
      <c r="I66" s="49"/>
      <c r="J66" s="66"/>
      <c r="K66" s="21"/>
      <c r="L66" s="21"/>
      <c r="M66" s="1"/>
      <c r="N66" s="1"/>
    </row>
    <row r="67" spans="1:14" ht="9.75" customHeight="1">
      <c r="A67" s="49"/>
      <c r="B67" s="49"/>
      <c r="C67" s="22"/>
      <c r="D67" s="21"/>
      <c r="E67" s="21"/>
      <c r="F67" s="226"/>
      <c r="G67" s="241"/>
      <c r="H67" s="261"/>
      <c r="I67" s="49"/>
      <c r="J67" s="66"/>
      <c r="K67" s="21"/>
      <c r="L67" s="21"/>
      <c r="M67" s="1"/>
      <c r="N67" s="1"/>
    </row>
    <row r="68" spans="1:14" ht="87.75" customHeight="1">
      <c r="A68" s="49"/>
      <c r="B68" s="49"/>
      <c r="C68" s="22"/>
      <c r="D68" s="21"/>
      <c r="E68" s="21"/>
      <c r="F68" s="226"/>
      <c r="G68" s="241"/>
      <c r="H68" s="265"/>
      <c r="I68" s="49"/>
      <c r="J68" s="49"/>
      <c r="K68" s="21"/>
      <c r="L68" s="21"/>
      <c r="M68" s="1"/>
      <c r="N68" s="1"/>
    </row>
    <row r="69" spans="1:14" ht="15.75" customHeight="1">
      <c r="A69" s="49"/>
      <c r="B69" s="49"/>
      <c r="C69" s="22"/>
      <c r="D69" s="21"/>
      <c r="E69" s="21"/>
      <c r="F69" s="226"/>
      <c r="G69" s="241"/>
      <c r="H69" s="265"/>
      <c r="I69" s="49"/>
      <c r="J69" s="49"/>
      <c r="K69" s="21"/>
      <c r="L69" s="21"/>
      <c r="M69" s="1"/>
      <c r="N69" s="1"/>
    </row>
    <row r="70" spans="1:14" ht="7.5" customHeight="1">
      <c r="A70" s="49"/>
      <c r="B70" s="49"/>
      <c r="C70" s="22"/>
      <c r="D70" s="21"/>
      <c r="E70" s="21"/>
      <c r="F70" s="226"/>
      <c r="G70" s="241"/>
      <c r="H70" s="265"/>
      <c r="I70" s="49"/>
      <c r="J70" s="49"/>
      <c r="K70" s="21"/>
      <c r="L70" s="21"/>
      <c r="M70" s="1"/>
      <c r="N70" s="1"/>
    </row>
    <row r="71" spans="1:14" ht="12.75" customHeight="1" thickBot="1">
      <c r="A71" s="49"/>
      <c r="B71" s="49"/>
      <c r="C71" s="22"/>
      <c r="D71" s="21"/>
      <c r="E71" s="21"/>
      <c r="F71" s="226"/>
      <c r="G71" s="241"/>
      <c r="H71" s="265"/>
      <c r="I71" s="49"/>
      <c r="J71" s="49"/>
      <c r="K71" s="21"/>
      <c r="L71" s="21"/>
      <c r="M71" s="1"/>
      <c r="N71" s="1"/>
    </row>
    <row r="72" spans="1:14" ht="12.75" customHeight="1">
      <c r="A72" s="396" t="s">
        <v>1</v>
      </c>
      <c r="B72" s="10"/>
      <c r="C72" s="422" t="s">
        <v>2</v>
      </c>
      <c r="D72" s="11"/>
      <c r="E72" s="423" t="s">
        <v>69</v>
      </c>
      <c r="F72" s="228"/>
      <c r="G72" s="246"/>
      <c r="H72" s="265"/>
      <c r="I72" s="49"/>
      <c r="J72" s="49"/>
      <c r="K72" s="14"/>
      <c r="L72" s="14"/>
      <c r="M72" s="15"/>
      <c r="N72" s="15"/>
    </row>
    <row r="73" spans="1:14" ht="24.75" customHeight="1" thickBot="1">
      <c r="A73" s="397"/>
      <c r="B73" s="10"/>
      <c r="C73" s="410"/>
      <c r="D73" s="14"/>
      <c r="E73" s="424"/>
      <c r="F73" s="225"/>
      <c r="G73" s="240"/>
      <c r="H73" s="265"/>
      <c r="I73" s="49"/>
      <c r="J73" s="49"/>
      <c r="K73" s="14"/>
      <c r="L73" s="14"/>
      <c r="M73" s="15"/>
      <c r="N73" s="15"/>
    </row>
    <row r="74" spans="1:14" ht="13.5" customHeight="1">
      <c r="A74" s="21"/>
      <c r="B74" s="21"/>
      <c r="C74" s="22"/>
      <c r="D74" s="21"/>
      <c r="E74" s="21"/>
      <c r="F74" s="226"/>
      <c r="G74" s="241"/>
      <c r="H74" s="265"/>
      <c r="I74" s="49"/>
      <c r="J74" s="49"/>
      <c r="K74" s="21"/>
      <c r="L74" s="21"/>
      <c r="M74" s="25"/>
      <c r="N74" s="25"/>
    </row>
    <row r="75" spans="1:14" ht="4.5" customHeight="1">
      <c r="A75" s="21"/>
      <c r="B75" s="21"/>
      <c r="C75" s="22"/>
      <c r="D75" s="21"/>
      <c r="E75" s="21"/>
      <c r="F75" s="226"/>
      <c r="G75" s="241"/>
      <c r="H75" s="265"/>
      <c r="I75" s="49"/>
      <c r="J75" s="49"/>
      <c r="K75" s="21"/>
      <c r="L75" s="21"/>
      <c r="M75" s="25"/>
      <c r="N75" s="25"/>
    </row>
    <row r="76" spans="1:14" ht="11.25" customHeight="1">
      <c r="A76" s="49"/>
      <c r="B76" s="49"/>
      <c r="C76" s="22">
        <v>223</v>
      </c>
      <c r="D76" s="21"/>
      <c r="E76" s="50" t="s">
        <v>70</v>
      </c>
      <c r="F76" s="226"/>
      <c r="G76" s="241"/>
      <c r="H76" s="261"/>
      <c r="I76" s="49"/>
      <c r="J76" s="66"/>
      <c r="K76" s="21"/>
      <c r="L76" s="21"/>
      <c r="M76" s="1"/>
      <c r="N76" s="1"/>
    </row>
    <row r="77" spans="1:14" ht="11.25" customHeight="1">
      <c r="A77" s="49">
        <v>6250002</v>
      </c>
      <c r="B77" s="49"/>
      <c r="C77" s="22" t="s">
        <v>374</v>
      </c>
      <c r="D77" s="21"/>
      <c r="E77" s="21" t="s">
        <v>376</v>
      </c>
      <c r="F77" s="226" t="s">
        <v>281</v>
      </c>
      <c r="G77" s="241"/>
      <c r="H77" s="261"/>
      <c r="I77" s="49"/>
      <c r="J77" s="66"/>
      <c r="K77" s="21"/>
      <c r="L77" s="21"/>
      <c r="M77" s="1"/>
      <c r="N77" s="1"/>
    </row>
    <row r="78" spans="1:14" ht="11.25" customHeight="1">
      <c r="A78" s="49">
        <v>6250001</v>
      </c>
      <c r="B78" s="49"/>
      <c r="C78" s="22" t="s">
        <v>375</v>
      </c>
      <c r="D78" s="21"/>
      <c r="E78" s="21" t="s">
        <v>74</v>
      </c>
      <c r="F78" s="226" t="s">
        <v>309</v>
      </c>
      <c r="G78" s="241"/>
      <c r="H78" s="261"/>
      <c r="I78" s="49"/>
      <c r="J78" s="66"/>
      <c r="K78" s="21"/>
      <c r="L78" s="21"/>
      <c r="M78" s="1"/>
      <c r="N78" s="1"/>
    </row>
    <row r="79" spans="1:14" ht="11.25" customHeight="1">
      <c r="A79" s="49"/>
      <c r="B79" s="49"/>
      <c r="C79" s="22"/>
      <c r="D79" s="21"/>
      <c r="E79" s="21"/>
      <c r="F79" s="226"/>
      <c r="G79" s="241"/>
      <c r="H79" s="261"/>
      <c r="I79" s="49"/>
      <c r="J79" s="66"/>
      <c r="K79" s="21"/>
      <c r="L79" s="21"/>
      <c r="M79" s="1"/>
      <c r="N79" s="1"/>
    </row>
    <row r="80" spans="1:14" ht="11.25" customHeight="1">
      <c r="A80" s="49"/>
      <c r="B80" s="49"/>
      <c r="C80" s="22">
        <v>224</v>
      </c>
      <c r="D80" s="21"/>
      <c r="E80" s="50" t="s">
        <v>75</v>
      </c>
      <c r="F80" s="226"/>
      <c r="G80" s="241"/>
      <c r="H80" s="261"/>
      <c r="I80" s="49"/>
      <c r="J80" s="66"/>
      <c r="K80" s="21"/>
      <c r="L80" s="21"/>
      <c r="M80" s="1"/>
      <c r="N80" s="1"/>
    </row>
    <row r="81" spans="1:14" ht="11.25" customHeight="1">
      <c r="A81" s="49">
        <v>6310001</v>
      </c>
      <c r="B81" s="49"/>
      <c r="C81" s="22" t="s">
        <v>71</v>
      </c>
      <c r="D81" s="21"/>
      <c r="E81" s="21" t="s">
        <v>77</v>
      </c>
      <c r="F81" s="226" t="s">
        <v>282</v>
      </c>
      <c r="G81" s="241"/>
      <c r="H81" s="261"/>
      <c r="I81" s="49"/>
      <c r="J81" s="66"/>
      <c r="K81" s="21"/>
      <c r="L81" s="21"/>
      <c r="M81" s="1"/>
      <c r="N81" s="1"/>
    </row>
    <row r="82" spans="1:14" ht="11.25" customHeight="1">
      <c r="A82" s="49"/>
      <c r="B82" s="49"/>
      <c r="C82" s="22"/>
      <c r="D82" s="21"/>
      <c r="E82" s="21"/>
      <c r="F82" s="226"/>
      <c r="G82" s="241"/>
      <c r="H82" s="261"/>
      <c r="I82" s="49"/>
      <c r="J82" s="66"/>
      <c r="K82" s="21"/>
      <c r="L82" s="21"/>
      <c r="M82" s="1"/>
      <c r="N82" s="1"/>
    </row>
    <row r="83" spans="1:14" ht="11.25" customHeight="1">
      <c r="A83" s="49"/>
      <c r="B83" s="49"/>
      <c r="C83" s="22">
        <v>225</v>
      </c>
      <c r="D83" s="21"/>
      <c r="E83" s="50" t="s">
        <v>78</v>
      </c>
      <c r="F83" s="226"/>
      <c r="G83" s="241"/>
      <c r="H83" s="261"/>
      <c r="I83" s="49"/>
      <c r="J83" s="66"/>
      <c r="K83" s="21"/>
      <c r="L83" s="21"/>
      <c r="M83" s="1"/>
      <c r="N83" s="1"/>
    </row>
    <row r="84" spans="1:14" ht="11.25" customHeight="1">
      <c r="A84" s="49">
        <v>6260001</v>
      </c>
      <c r="B84" s="49"/>
      <c r="C84" s="22" t="s">
        <v>76</v>
      </c>
      <c r="D84" s="21"/>
      <c r="E84" s="21" t="s">
        <v>293</v>
      </c>
      <c r="F84" s="226" t="s">
        <v>283</v>
      </c>
      <c r="G84" s="241"/>
      <c r="H84" s="261"/>
      <c r="I84" s="49"/>
      <c r="J84" s="66"/>
      <c r="K84" s="21"/>
      <c r="L84" s="21"/>
      <c r="M84" s="1"/>
      <c r="N84" s="1"/>
    </row>
    <row r="85" spans="1:14" ht="12" customHeight="1">
      <c r="A85" s="49">
        <v>6270001</v>
      </c>
      <c r="B85" s="49"/>
      <c r="C85" s="22" t="s">
        <v>377</v>
      </c>
      <c r="D85" s="21"/>
      <c r="E85" s="21" t="s">
        <v>82</v>
      </c>
      <c r="F85" s="226" t="s">
        <v>284</v>
      </c>
      <c r="G85" s="241"/>
      <c r="H85" s="261"/>
      <c r="I85" s="49"/>
      <c r="J85" s="66"/>
      <c r="K85" s="21"/>
      <c r="L85" s="21"/>
      <c r="M85" s="1"/>
      <c r="N85" s="1"/>
    </row>
    <row r="86" spans="1:14" ht="11.25" customHeight="1">
      <c r="A86" s="49">
        <v>6270002</v>
      </c>
      <c r="B86" s="49"/>
      <c r="C86" s="22" t="s">
        <v>378</v>
      </c>
      <c r="D86" s="21"/>
      <c r="E86" s="21" t="s">
        <v>84</v>
      </c>
      <c r="F86" s="226" t="s">
        <v>285</v>
      </c>
      <c r="G86" s="241"/>
      <c r="H86" s="261"/>
      <c r="I86" s="49"/>
      <c r="J86" s="66"/>
      <c r="K86" s="21"/>
      <c r="L86" s="21"/>
      <c r="M86" s="1"/>
      <c r="N86" s="1"/>
    </row>
    <row r="87" spans="1:14" ht="11.25" customHeight="1">
      <c r="A87" s="49">
        <v>6290007</v>
      </c>
      <c r="B87" s="49"/>
      <c r="C87" s="22" t="s">
        <v>379</v>
      </c>
      <c r="D87" s="21"/>
      <c r="E87" s="21" t="s">
        <v>86</v>
      </c>
      <c r="F87" s="226"/>
      <c r="G87" s="241"/>
      <c r="H87" s="261"/>
      <c r="I87" s="49"/>
      <c r="J87" s="66"/>
      <c r="K87" s="21"/>
      <c r="L87" s="21"/>
      <c r="M87" s="1"/>
      <c r="N87" s="1"/>
    </row>
    <row r="88" spans="1:14" ht="11.25" customHeight="1">
      <c r="A88" s="49">
        <v>6290008</v>
      </c>
      <c r="B88" s="49"/>
      <c r="C88" s="22" t="s">
        <v>380</v>
      </c>
      <c r="D88" s="21"/>
      <c r="E88" s="21" t="s">
        <v>292</v>
      </c>
      <c r="F88" s="226" t="s">
        <v>310</v>
      </c>
      <c r="G88" s="241"/>
      <c r="H88" s="261"/>
      <c r="I88" s="49"/>
      <c r="J88" s="66"/>
      <c r="K88" s="21"/>
      <c r="L88" s="21"/>
      <c r="M88" s="1"/>
      <c r="N88" s="1"/>
    </row>
    <row r="89" spans="1:14" ht="11.25" customHeight="1">
      <c r="A89" s="49">
        <v>6290009</v>
      </c>
      <c r="B89" s="49"/>
      <c r="C89" s="22" t="s">
        <v>381</v>
      </c>
      <c r="D89" s="21"/>
      <c r="E89" s="21" t="s">
        <v>340</v>
      </c>
      <c r="F89" s="226" t="s">
        <v>286</v>
      </c>
      <c r="G89" s="241"/>
      <c r="H89" s="261"/>
      <c r="I89" s="49"/>
      <c r="J89" s="66"/>
      <c r="K89" s="21"/>
      <c r="L89" s="21"/>
      <c r="M89" s="1"/>
      <c r="N89" s="1"/>
    </row>
    <row r="90" spans="1:14" ht="11.25" customHeight="1">
      <c r="A90" s="49">
        <v>6290010</v>
      </c>
      <c r="B90" s="49"/>
      <c r="C90" s="22" t="s">
        <v>382</v>
      </c>
      <c r="D90" s="21"/>
      <c r="E90" s="21" t="s">
        <v>341</v>
      </c>
      <c r="F90" s="226" t="s">
        <v>339</v>
      </c>
      <c r="G90" s="241"/>
      <c r="H90" s="261"/>
      <c r="I90" s="49"/>
      <c r="J90" s="83"/>
      <c r="K90" s="21"/>
      <c r="L90" s="21"/>
      <c r="M90" s="1"/>
      <c r="N90" s="1"/>
    </row>
    <row r="91" spans="1:14" ht="11.25" customHeight="1">
      <c r="A91" s="49">
        <v>6290000</v>
      </c>
      <c r="B91" s="49"/>
      <c r="C91" s="22" t="s">
        <v>383</v>
      </c>
      <c r="D91" s="21"/>
      <c r="E91" s="21" t="s">
        <v>99</v>
      </c>
      <c r="F91" s="229" t="s">
        <v>253</v>
      </c>
      <c r="G91" s="247"/>
      <c r="H91" s="261"/>
      <c r="I91" s="49"/>
      <c r="J91" s="1"/>
      <c r="K91" s="21"/>
      <c r="L91" s="21"/>
      <c r="M91" s="1"/>
      <c r="N91" s="1"/>
    </row>
    <row r="92" spans="1:14" ht="11.25" customHeight="1">
      <c r="A92" s="49"/>
      <c r="B92" s="49"/>
      <c r="C92" s="22" t="s">
        <v>384</v>
      </c>
      <c r="D92" s="21"/>
      <c r="E92" s="21" t="s">
        <v>343</v>
      </c>
      <c r="F92" s="226" t="s">
        <v>102</v>
      </c>
      <c r="G92" s="241"/>
      <c r="H92" s="261"/>
      <c r="I92" s="49"/>
      <c r="J92" s="1"/>
      <c r="K92" s="21"/>
      <c r="L92" s="21"/>
      <c r="M92" s="1"/>
      <c r="N92" s="1"/>
    </row>
    <row r="93" spans="1:14" ht="11.25" customHeight="1">
      <c r="A93" s="49"/>
      <c r="B93" s="49"/>
      <c r="C93" s="22" t="s">
        <v>385</v>
      </c>
      <c r="D93" s="21"/>
      <c r="E93" s="21" t="s">
        <v>104</v>
      </c>
      <c r="F93" s="226" t="s">
        <v>312</v>
      </c>
      <c r="G93" s="241"/>
      <c r="H93" s="261"/>
      <c r="I93" s="49"/>
      <c r="J93" s="1"/>
      <c r="K93" s="21"/>
      <c r="L93" s="21"/>
      <c r="M93" s="1"/>
      <c r="N93" s="1"/>
    </row>
    <row r="94" spans="1:14" ht="11.25" customHeight="1">
      <c r="A94" s="49">
        <v>6299999</v>
      </c>
      <c r="B94" s="49"/>
      <c r="C94" s="22" t="s">
        <v>386</v>
      </c>
      <c r="D94" s="21"/>
      <c r="E94" s="21" t="s">
        <v>291</v>
      </c>
      <c r="F94" s="226" t="s">
        <v>311</v>
      </c>
      <c r="G94" s="241"/>
      <c r="H94" s="261"/>
      <c r="I94" s="49"/>
      <c r="J94" s="1"/>
      <c r="K94" s="21"/>
      <c r="L94" s="21"/>
      <c r="M94" s="1"/>
      <c r="N94" s="1"/>
    </row>
    <row r="95" spans="1:14" ht="11.25" customHeight="1">
      <c r="A95" s="49"/>
      <c r="B95" s="49"/>
      <c r="C95" s="22"/>
      <c r="D95" s="21"/>
      <c r="E95" s="21"/>
      <c r="F95" s="226"/>
      <c r="G95" s="241"/>
      <c r="H95" s="261"/>
      <c r="I95" s="49"/>
      <c r="J95" s="1"/>
      <c r="K95" s="21"/>
      <c r="L95" s="21"/>
      <c r="M95" s="1"/>
      <c r="N95" s="1"/>
    </row>
    <row r="96" spans="1:14" ht="11.25" customHeight="1">
      <c r="A96" s="49"/>
      <c r="B96" s="49"/>
      <c r="C96" s="22">
        <v>226</v>
      </c>
      <c r="D96" s="21"/>
      <c r="E96" s="50" t="s">
        <v>105</v>
      </c>
      <c r="F96" s="226"/>
      <c r="G96" s="241"/>
      <c r="H96" s="261"/>
      <c r="I96" s="49"/>
      <c r="J96" s="1"/>
      <c r="K96" s="21"/>
      <c r="L96" s="21"/>
      <c r="M96" s="1"/>
      <c r="N96" s="1"/>
    </row>
    <row r="97" spans="1:14" ht="11.25" customHeight="1">
      <c r="A97" s="49">
        <v>6290012</v>
      </c>
      <c r="B97" s="49"/>
      <c r="C97" s="22" t="s">
        <v>79</v>
      </c>
      <c r="D97" s="21"/>
      <c r="E97" s="21" t="s">
        <v>107</v>
      </c>
      <c r="F97" s="226" t="s">
        <v>262</v>
      </c>
      <c r="G97" s="241"/>
      <c r="H97" s="261"/>
      <c r="I97" s="49"/>
      <c r="J97" s="1"/>
      <c r="K97" s="21"/>
      <c r="L97" s="21"/>
      <c r="M97" s="1"/>
      <c r="N97" s="1"/>
    </row>
    <row r="98" spans="1:14" ht="11.25" customHeight="1">
      <c r="A98" s="49">
        <v>6290014</v>
      </c>
      <c r="B98" s="49"/>
      <c r="C98" s="22" t="s">
        <v>81</v>
      </c>
      <c r="D98" s="21"/>
      <c r="E98" s="21" t="s">
        <v>109</v>
      </c>
      <c r="F98" s="226"/>
      <c r="G98" s="241"/>
      <c r="H98" s="261"/>
      <c r="I98" s="49"/>
      <c r="J98" s="1"/>
      <c r="K98" s="21"/>
      <c r="L98" s="21"/>
      <c r="M98" s="1"/>
      <c r="N98" s="1"/>
    </row>
    <row r="99" spans="1:14" ht="11.25" customHeight="1">
      <c r="A99" s="49">
        <v>6230001</v>
      </c>
      <c r="B99" s="49"/>
      <c r="C99" s="22" t="s">
        <v>83</v>
      </c>
      <c r="D99" s="21"/>
      <c r="E99" s="21" t="s">
        <v>111</v>
      </c>
      <c r="F99" s="226" t="s">
        <v>287</v>
      </c>
      <c r="G99" s="241"/>
      <c r="H99" s="261"/>
      <c r="I99" s="49"/>
      <c r="J99" s="1"/>
      <c r="K99" s="21"/>
      <c r="L99" s="21"/>
      <c r="M99" s="1"/>
      <c r="N99" s="1"/>
    </row>
    <row r="100" spans="1:14" ht="11.25" customHeight="1">
      <c r="A100" s="49">
        <v>6230002</v>
      </c>
      <c r="B100" s="49"/>
      <c r="C100" s="22" t="s">
        <v>85</v>
      </c>
      <c r="D100" s="21"/>
      <c r="E100" s="21" t="s">
        <v>113</v>
      </c>
      <c r="F100" s="226" t="s">
        <v>288</v>
      </c>
      <c r="G100" s="241"/>
      <c r="H100" s="261"/>
      <c r="I100" s="49"/>
      <c r="J100" s="1"/>
      <c r="K100" s="21"/>
      <c r="L100" s="21"/>
      <c r="M100" s="1"/>
      <c r="N100" s="1"/>
    </row>
    <row r="101" spans="1:14" ht="11.25" customHeight="1">
      <c r="A101" s="49">
        <v>6230003</v>
      </c>
      <c r="B101" s="49"/>
      <c r="C101" s="22" t="s">
        <v>87</v>
      </c>
      <c r="D101" s="21"/>
      <c r="E101" s="21" t="s">
        <v>264</v>
      </c>
      <c r="F101" s="226" t="s">
        <v>289</v>
      </c>
      <c r="G101" s="241"/>
      <c r="H101" s="261"/>
      <c r="I101" s="49"/>
      <c r="J101" s="1"/>
      <c r="K101" s="21"/>
      <c r="L101" s="21"/>
      <c r="M101" s="1"/>
      <c r="N101" s="1"/>
    </row>
    <row r="102" spans="1:14" ht="11.25" customHeight="1">
      <c r="A102" s="49">
        <v>6230003</v>
      </c>
      <c r="B102" s="49"/>
      <c r="C102" s="22" t="s">
        <v>89</v>
      </c>
      <c r="D102" s="21"/>
      <c r="E102" s="21" t="s">
        <v>263</v>
      </c>
      <c r="F102" s="226" t="s">
        <v>290</v>
      </c>
      <c r="G102" s="241"/>
      <c r="H102" s="261"/>
      <c r="I102" s="49"/>
      <c r="J102" s="1"/>
      <c r="K102" s="21"/>
      <c r="L102" s="21"/>
      <c r="M102" s="1"/>
      <c r="N102" s="1"/>
    </row>
    <row r="103" spans="1:14" ht="11.25" customHeight="1">
      <c r="A103" s="49"/>
      <c r="B103" s="49"/>
      <c r="C103" s="22" t="s">
        <v>91</v>
      </c>
      <c r="D103" s="21"/>
      <c r="E103" s="21" t="s">
        <v>313</v>
      </c>
      <c r="F103" s="226" t="s">
        <v>295</v>
      </c>
      <c r="G103" s="241"/>
      <c r="H103" s="261"/>
      <c r="I103" s="49"/>
      <c r="J103" s="1"/>
      <c r="K103" s="21"/>
      <c r="L103" s="21"/>
      <c r="M103" s="1"/>
      <c r="N103" s="1"/>
    </row>
    <row r="104" spans="1:14" ht="11.25" customHeight="1">
      <c r="A104" s="49"/>
      <c r="B104" s="49"/>
      <c r="C104" s="22" t="s">
        <v>93</v>
      </c>
      <c r="D104" s="21"/>
      <c r="E104" s="21" t="s">
        <v>314</v>
      </c>
      <c r="F104" s="226" t="s">
        <v>315</v>
      </c>
      <c r="G104" s="241"/>
      <c r="H104" s="261"/>
      <c r="I104" s="49"/>
      <c r="J104" s="1"/>
      <c r="K104" s="21"/>
      <c r="L104" s="21"/>
      <c r="M104" s="1"/>
      <c r="N104" s="1"/>
    </row>
    <row r="105" spans="1:14" ht="11.25" customHeight="1">
      <c r="A105" s="49">
        <v>6230004</v>
      </c>
      <c r="B105" s="49"/>
      <c r="C105" s="22" t="s">
        <v>95</v>
      </c>
      <c r="D105" s="57"/>
      <c r="E105" s="21" t="s">
        <v>296</v>
      </c>
      <c r="F105" s="275" t="s">
        <v>316</v>
      </c>
      <c r="G105" s="243"/>
      <c r="H105" s="261"/>
      <c r="I105" s="49"/>
      <c r="J105" s="1"/>
      <c r="K105" s="21"/>
      <c r="L105" s="21"/>
      <c r="M105" s="1"/>
      <c r="N105" s="1"/>
    </row>
    <row r="106" spans="1:14" ht="11.25" customHeight="1">
      <c r="A106" s="49"/>
      <c r="B106" s="49"/>
      <c r="C106" s="22" t="s">
        <v>98</v>
      </c>
      <c r="D106" s="21"/>
      <c r="E106" s="21" t="s">
        <v>322</v>
      </c>
      <c r="F106" s="226" t="s">
        <v>321</v>
      </c>
      <c r="G106" s="241"/>
      <c r="H106" s="261"/>
      <c r="I106" s="49"/>
      <c r="J106" s="1"/>
      <c r="K106" s="21"/>
      <c r="L106" s="21"/>
      <c r="M106" s="1"/>
      <c r="N106" s="1"/>
    </row>
    <row r="107" spans="1:14" ht="11.25" customHeight="1">
      <c r="A107" s="49">
        <v>6230000</v>
      </c>
      <c r="B107" s="49"/>
      <c r="C107" s="22" t="s">
        <v>100</v>
      </c>
      <c r="D107" s="21"/>
      <c r="E107" s="21" t="s">
        <v>121</v>
      </c>
      <c r="F107" s="57" t="s">
        <v>344</v>
      </c>
      <c r="G107" s="241"/>
      <c r="H107" s="261"/>
      <c r="I107" s="49"/>
      <c r="J107" s="1"/>
      <c r="K107" s="21"/>
      <c r="L107" s="21"/>
      <c r="M107" s="1"/>
      <c r="N107" s="1"/>
    </row>
    <row r="108" spans="1:14" ht="12.75" customHeight="1">
      <c r="A108" s="49"/>
      <c r="B108" s="49"/>
      <c r="C108" s="8"/>
      <c r="D108" s="7"/>
      <c r="E108" s="7"/>
      <c r="F108" s="223"/>
      <c r="G108" s="238"/>
      <c r="H108" s="260"/>
      <c r="I108" s="7"/>
      <c r="J108" s="1"/>
      <c r="K108" s="7"/>
      <c r="L108" s="7"/>
      <c r="M108" s="1"/>
      <c r="N108" s="1"/>
    </row>
    <row r="109" spans="1:14" ht="12.75" customHeight="1">
      <c r="A109" s="49"/>
      <c r="B109" s="49"/>
      <c r="C109" s="36">
        <v>23</v>
      </c>
      <c r="D109" s="7"/>
      <c r="E109" s="14" t="s">
        <v>126</v>
      </c>
      <c r="F109" s="223"/>
      <c r="G109" s="238"/>
      <c r="H109" s="260"/>
      <c r="I109" s="11"/>
      <c r="J109" s="1"/>
      <c r="K109" s="7"/>
      <c r="L109" s="7"/>
      <c r="M109" s="1"/>
      <c r="N109" s="1"/>
    </row>
    <row r="110" spans="1:14" ht="6" customHeight="1">
      <c r="A110" s="49"/>
      <c r="B110" s="49"/>
      <c r="C110" s="8"/>
      <c r="D110" s="7"/>
      <c r="E110" s="7"/>
      <c r="F110" s="223"/>
      <c r="G110" s="238"/>
      <c r="H110" s="260"/>
      <c r="I110" s="7"/>
      <c r="J110" s="1"/>
      <c r="K110" s="7"/>
      <c r="L110" s="7"/>
      <c r="M110" s="1"/>
      <c r="N110" s="1"/>
    </row>
    <row r="111" spans="1:14" ht="11.25" customHeight="1">
      <c r="A111" s="49"/>
      <c r="B111" s="49"/>
      <c r="C111" s="22">
        <v>230</v>
      </c>
      <c r="D111" s="21"/>
      <c r="E111" s="50" t="s">
        <v>127</v>
      </c>
      <c r="F111" s="226"/>
      <c r="G111" s="241"/>
      <c r="H111" s="261"/>
      <c r="I111" s="49"/>
      <c r="J111" s="1"/>
      <c r="K111" s="21"/>
      <c r="L111" s="21"/>
      <c r="M111" s="1"/>
      <c r="N111" s="1"/>
    </row>
    <row r="112" spans="1:14" ht="11.25" customHeight="1">
      <c r="A112" s="49">
        <v>6480000</v>
      </c>
      <c r="B112" s="49"/>
      <c r="C112" s="22" t="s">
        <v>128</v>
      </c>
      <c r="D112" s="21"/>
      <c r="E112" s="21" t="s">
        <v>129</v>
      </c>
      <c r="F112" s="226" t="s">
        <v>324</v>
      </c>
      <c r="G112" s="241"/>
      <c r="H112" s="261"/>
      <c r="I112" s="49"/>
      <c r="J112" s="1"/>
      <c r="K112" s="21"/>
      <c r="L112" s="21"/>
      <c r="M112" s="1"/>
      <c r="N112" s="1"/>
    </row>
    <row r="113" spans="1:14" ht="11.25" customHeight="1">
      <c r="A113" s="49">
        <v>6290101</v>
      </c>
      <c r="B113" s="49"/>
      <c r="C113" s="22" t="s">
        <v>130</v>
      </c>
      <c r="D113" s="21"/>
      <c r="E113" s="21" t="s">
        <v>131</v>
      </c>
      <c r="F113" s="226" t="s">
        <v>255</v>
      </c>
      <c r="G113" s="241"/>
      <c r="H113" s="261"/>
      <c r="I113" s="49"/>
      <c r="J113" s="1"/>
      <c r="K113" s="21"/>
      <c r="L113" s="21"/>
      <c r="M113" s="1"/>
      <c r="N113" s="1"/>
    </row>
    <row r="114" spans="1:14" ht="11.25" customHeight="1">
      <c r="A114" s="49">
        <v>6290102</v>
      </c>
      <c r="B114" s="49"/>
      <c r="C114" s="22" t="s">
        <v>132</v>
      </c>
      <c r="D114" s="21"/>
      <c r="E114" s="21" t="s">
        <v>133</v>
      </c>
      <c r="F114" s="226" t="s">
        <v>342</v>
      </c>
      <c r="G114" s="241"/>
      <c r="H114" s="261"/>
      <c r="I114" s="49"/>
      <c r="J114" s="1"/>
      <c r="K114" s="21"/>
      <c r="L114" s="21"/>
      <c r="M114" s="1"/>
      <c r="N114" s="1"/>
    </row>
    <row r="115" spans="1:14" ht="11.25" customHeight="1">
      <c r="A115" s="49"/>
      <c r="B115" s="49"/>
      <c r="C115" s="22"/>
      <c r="D115" s="21"/>
      <c r="E115" s="21"/>
      <c r="F115" s="226"/>
      <c r="G115" s="241"/>
      <c r="H115" s="261"/>
      <c r="I115" s="49"/>
      <c r="J115" s="49"/>
      <c r="K115" s="21"/>
      <c r="L115" s="21"/>
      <c r="M115" s="1"/>
      <c r="N115" s="1"/>
    </row>
    <row r="116" spans="1:14" ht="11.25" customHeight="1">
      <c r="A116" s="49"/>
      <c r="B116" s="49"/>
      <c r="C116" s="22">
        <v>231</v>
      </c>
      <c r="D116" s="21"/>
      <c r="E116" s="50" t="s">
        <v>134</v>
      </c>
      <c r="F116" s="226"/>
      <c r="G116" s="241"/>
      <c r="H116" s="261"/>
      <c r="I116" s="49"/>
      <c r="J116" s="49"/>
      <c r="K116" s="21"/>
      <c r="L116" s="21"/>
      <c r="M116" s="1"/>
      <c r="N116" s="1"/>
    </row>
    <row r="117" spans="1:14" ht="11.25" customHeight="1">
      <c r="A117" s="49">
        <v>6480001</v>
      </c>
      <c r="B117" s="49"/>
      <c r="C117" s="22" t="s">
        <v>135</v>
      </c>
      <c r="D117" s="21"/>
      <c r="E117" s="21" t="s">
        <v>363</v>
      </c>
      <c r="F117" s="226" t="s">
        <v>323</v>
      </c>
      <c r="G117" s="241"/>
      <c r="H117" s="261"/>
      <c r="I117" s="49"/>
      <c r="J117" s="49"/>
      <c r="K117" s="21"/>
      <c r="L117" s="21"/>
      <c r="M117" s="1"/>
      <c r="N117" s="1"/>
    </row>
    <row r="118" spans="1:14" ht="15.75" customHeight="1">
      <c r="C118" s="88"/>
    </row>
    <row r="119" spans="1:14" ht="15.75" customHeight="1">
      <c r="A119" s="1"/>
      <c r="B119" s="1"/>
      <c r="C119" s="2"/>
      <c r="D119" s="1"/>
      <c r="E119" s="1"/>
      <c r="F119" s="223"/>
      <c r="G119" s="237"/>
      <c r="H119" s="258"/>
      <c r="I119" s="49"/>
      <c r="J119" s="49"/>
      <c r="K119" s="1"/>
      <c r="L119" s="1"/>
      <c r="M119" s="1"/>
      <c r="N119" s="1"/>
    </row>
    <row r="120" spans="1:14" ht="90.75" customHeight="1">
      <c r="A120" s="1"/>
      <c r="B120" s="1"/>
      <c r="C120" s="2"/>
      <c r="D120" s="1"/>
      <c r="E120" s="1"/>
      <c r="F120" s="223"/>
      <c r="G120" s="237"/>
      <c r="H120" s="258"/>
      <c r="I120" s="49"/>
      <c r="J120" s="49"/>
      <c r="K120" s="1"/>
      <c r="L120" s="1"/>
      <c r="M120" s="1"/>
      <c r="N120" s="1"/>
    </row>
    <row r="121" spans="1:14" ht="54" customHeight="1">
      <c r="A121" s="1"/>
      <c r="B121" s="1"/>
      <c r="C121" s="2"/>
      <c r="D121" s="1"/>
      <c r="E121" s="1"/>
      <c r="F121" s="223"/>
      <c r="G121" s="237"/>
      <c r="H121" s="258"/>
      <c r="I121" s="49"/>
      <c r="J121" s="49"/>
      <c r="K121" s="1"/>
      <c r="L121" s="1"/>
      <c r="M121" s="1"/>
      <c r="N121" s="1"/>
    </row>
    <row r="122" spans="1:14" ht="12.75">
      <c r="A122" s="1"/>
      <c r="B122" s="1"/>
      <c r="C122" s="2"/>
      <c r="D122" s="1"/>
      <c r="E122" s="1"/>
      <c r="F122" s="223"/>
      <c r="G122" s="237"/>
      <c r="H122" s="258"/>
      <c r="I122" s="49"/>
      <c r="J122" s="49"/>
      <c r="K122" s="1"/>
      <c r="L122" s="1"/>
      <c r="M122" s="1"/>
      <c r="N122" s="1"/>
    </row>
    <row r="123" spans="1:14" ht="7.5" customHeight="1" thickBot="1">
      <c r="A123" s="1"/>
      <c r="B123" s="1"/>
      <c r="C123" s="2"/>
      <c r="D123" s="1"/>
      <c r="E123" s="1"/>
      <c r="F123" s="223"/>
      <c r="G123" s="237"/>
      <c r="H123" s="258"/>
      <c r="I123" s="49"/>
      <c r="J123" s="49"/>
      <c r="K123" s="1"/>
      <c r="L123" s="1"/>
      <c r="M123" s="1"/>
      <c r="N123" s="1"/>
    </row>
    <row r="124" spans="1:14" ht="12.75" customHeight="1">
      <c r="A124" s="396" t="s">
        <v>1</v>
      </c>
      <c r="B124" s="10"/>
      <c r="C124" s="422" t="s">
        <v>2</v>
      </c>
      <c r="D124" s="11"/>
      <c r="E124" s="423" t="s">
        <v>69</v>
      </c>
      <c r="F124" s="228"/>
      <c r="G124" s="246"/>
      <c r="H124" s="262"/>
      <c r="I124" s="49"/>
      <c r="J124" s="49"/>
      <c r="K124" s="14"/>
      <c r="L124" s="14"/>
      <c r="M124" s="15"/>
      <c r="N124" s="15"/>
    </row>
    <row r="125" spans="1:14" ht="27.75" customHeight="1" thickBot="1">
      <c r="A125" s="397"/>
      <c r="B125" s="10"/>
      <c r="C125" s="410"/>
      <c r="D125" s="14"/>
      <c r="E125" s="424"/>
      <c r="F125" s="225"/>
      <c r="G125" s="240"/>
      <c r="H125" s="263"/>
      <c r="I125" s="49"/>
      <c r="J125" s="49"/>
      <c r="K125" s="14"/>
      <c r="L125" s="14"/>
      <c r="M125" s="15"/>
      <c r="N125" s="15"/>
    </row>
    <row r="126" spans="1:14" ht="13.5" customHeight="1" thickBot="1">
      <c r="A126" s="21"/>
      <c r="B126" s="21"/>
      <c r="C126" s="22"/>
      <c r="D126" s="21"/>
      <c r="E126" s="21"/>
      <c r="F126" s="226"/>
      <c r="G126" s="241"/>
      <c r="H126" s="261"/>
      <c r="I126" s="49"/>
      <c r="J126" s="49"/>
      <c r="K126" s="21"/>
      <c r="L126" s="21"/>
      <c r="M126" s="25"/>
      <c r="N126" s="25"/>
    </row>
    <row r="127" spans="1:14" ht="17.25" customHeight="1" thickTop="1" thickBot="1">
      <c r="A127" s="26"/>
      <c r="B127" s="26"/>
      <c r="C127" s="27">
        <v>3</v>
      </c>
      <c r="D127" s="28"/>
      <c r="E127" s="29" t="s">
        <v>137</v>
      </c>
      <c r="F127" s="227"/>
      <c r="G127" s="242"/>
      <c r="H127" s="264"/>
      <c r="I127" s="49"/>
      <c r="J127" s="49"/>
      <c r="K127" s="35"/>
      <c r="L127" s="35"/>
      <c r="M127" s="1"/>
      <c r="N127" s="1"/>
    </row>
    <row r="128" spans="1:14" ht="6" customHeight="1" thickTop="1">
      <c r="A128" s="7"/>
      <c r="B128" s="7"/>
      <c r="C128" s="8"/>
      <c r="D128" s="7"/>
      <c r="E128" s="7"/>
      <c r="F128" s="223"/>
      <c r="G128" s="238"/>
      <c r="H128" s="260"/>
      <c r="I128" s="49"/>
      <c r="J128" s="49"/>
      <c r="K128" s="7"/>
      <c r="L128" s="7"/>
      <c r="M128" s="1"/>
      <c r="N128" s="1"/>
    </row>
    <row r="129" spans="1:14" ht="12.75" customHeight="1">
      <c r="A129" s="91">
        <v>6632001</v>
      </c>
      <c r="B129" s="91"/>
      <c r="C129" s="36">
        <v>31</v>
      </c>
      <c r="D129" s="7"/>
      <c r="E129" s="14" t="s">
        <v>388</v>
      </c>
      <c r="F129" s="223"/>
      <c r="G129" s="238"/>
      <c r="H129" s="259"/>
      <c r="I129" s="7"/>
      <c r="J129" s="7"/>
      <c r="K129" s="7"/>
      <c r="L129" s="7"/>
      <c r="M129" s="1"/>
      <c r="N129" s="1"/>
    </row>
    <row r="130" spans="1:14" ht="13.5" customHeight="1" thickBot="1">
      <c r="A130" s="7"/>
      <c r="B130" s="7"/>
      <c r="C130" s="8"/>
      <c r="D130" s="7"/>
      <c r="E130" s="92"/>
      <c r="F130" s="223"/>
      <c r="G130" s="238"/>
      <c r="H130" s="259"/>
      <c r="I130" s="7"/>
      <c r="J130" s="7"/>
      <c r="K130" s="1"/>
      <c r="L130" s="7"/>
      <c r="M130" s="1"/>
      <c r="N130" s="1"/>
    </row>
    <row r="131" spans="1:14" ht="17.25" customHeight="1" thickTop="1" thickBot="1">
      <c r="A131" s="26"/>
      <c r="B131" s="26"/>
      <c r="C131" s="27">
        <v>4</v>
      </c>
      <c r="D131" s="28"/>
      <c r="E131" s="29" t="s">
        <v>164</v>
      </c>
      <c r="F131" s="227"/>
      <c r="G131" s="242"/>
      <c r="H131" s="259"/>
      <c r="I131" s="7"/>
      <c r="J131" s="7"/>
      <c r="K131" s="35"/>
      <c r="L131" s="35"/>
      <c r="M131" s="1"/>
      <c r="N131" s="1"/>
    </row>
    <row r="132" spans="1:14" ht="6" customHeight="1" thickTop="1">
      <c r="A132" s="7"/>
      <c r="B132" s="7"/>
      <c r="C132" s="8"/>
      <c r="D132" s="7"/>
      <c r="E132" s="7"/>
      <c r="F132" s="223"/>
      <c r="G132" s="238"/>
      <c r="H132" s="259"/>
      <c r="I132" s="7"/>
      <c r="J132" s="7"/>
      <c r="K132" s="1"/>
      <c r="L132" s="7"/>
      <c r="M132" s="1"/>
      <c r="N132" s="1"/>
    </row>
    <row r="133" spans="1:14" ht="12.75" customHeight="1">
      <c r="A133" s="7"/>
      <c r="B133" s="7"/>
      <c r="C133" s="36">
        <v>41</v>
      </c>
      <c r="D133" s="7"/>
      <c r="E133" s="14" t="s">
        <v>387</v>
      </c>
      <c r="F133" s="223"/>
      <c r="G133" s="238"/>
      <c r="H133" s="259"/>
      <c r="I133" s="7"/>
      <c r="J133" s="7"/>
      <c r="K133" s="1"/>
      <c r="L133" s="7"/>
      <c r="M133" s="1"/>
      <c r="N133" s="1"/>
    </row>
    <row r="134" spans="1:14" ht="11.25" customHeight="1">
      <c r="A134" s="49">
        <v>5530001</v>
      </c>
      <c r="B134" s="49"/>
      <c r="C134" s="22">
        <v>410</v>
      </c>
      <c r="D134" s="21"/>
      <c r="E134" s="97" t="s">
        <v>325</v>
      </c>
      <c r="F134" s="226" t="s">
        <v>265</v>
      </c>
      <c r="G134" s="241"/>
      <c r="H134" s="259"/>
      <c r="I134" s="7"/>
      <c r="J134" s="7"/>
      <c r="K134" s="1"/>
      <c r="L134" s="21"/>
      <c r="M134" s="1"/>
      <c r="N134" s="1"/>
    </row>
    <row r="135" spans="1:14" ht="20.25" customHeight="1" thickBot="1">
      <c r="A135" s="49"/>
      <c r="B135" s="49"/>
      <c r="C135" s="8"/>
      <c r="D135" s="21"/>
      <c r="E135" s="7"/>
      <c r="F135" s="226"/>
      <c r="G135" s="241"/>
      <c r="H135" s="259"/>
      <c r="I135" s="7"/>
      <c r="J135" s="7"/>
      <c r="K135" s="1"/>
      <c r="L135" s="7"/>
      <c r="M135" s="1"/>
      <c r="N135" s="1"/>
    </row>
    <row r="136" spans="1:14" ht="17.25" customHeight="1" thickTop="1" thickBot="1">
      <c r="A136" s="26"/>
      <c r="B136" s="26"/>
      <c r="C136" s="27">
        <v>6</v>
      </c>
      <c r="D136" s="28"/>
      <c r="E136" s="29" t="s">
        <v>397</v>
      </c>
      <c r="F136" s="227"/>
      <c r="G136" s="242"/>
      <c r="H136" s="259"/>
      <c r="I136" s="7"/>
      <c r="J136" s="7"/>
      <c r="K136" s="35"/>
      <c r="L136" s="35"/>
      <c r="M136" s="1"/>
      <c r="N136" s="1"/>
    </row>
    <row r="137" spans="1:14" ht="6" customHeight="1" thickTop="1">
      <c r="A137" s="49"/>
      <c r="B137" s="49"/>
      <c r="C137" s="8"/>
      <c r="D137" s="7"/>
      <c r="E137" s="7"/>
      <c r="F137" s="223"/>
      <c r="G137" s="238"/>
      <c r="H137" s="259"/>
      <c r="I137" s="7"/>
      <c r="J137" s="7"/>
      <c r="K137" s="1"/>
      <c r="L137" s="7"/>
      <c r="M137" s="1"/>
      <c r="N137" s="1"/>
    </row>
    <row r="138" spans="1:14" ht="12.75" customHeight="1">
      <c r="A138" s="49"/>
      <c r="B138" s="49"/>
      <c r="C138" s="36">
        <v>60</v>
      </c>
      <c r="D138" s="7"/>
      <c r="E138" s="14" t="s">
        <v>144</v>
      </c>
      <c r="F138" s="223"/>
      <c r="G138" s="238"/>
      <c r="H138" s="259"/>
      <c r="I138" s="7"/>
      <c r="J138" s="7"/>
      <c r="K138" s="1"/>
      <c r="L138" s="7"/>
      <c r="M138" s="1"/>
      <c r="N138" s="1"/>
    </row>
    <row r="139" spans="1:14" ht="11.25" customHeight="1">
      <c r="A139" s="49">
        <v>2200001</v>
      </c>
      <c r="B139" s="49"/>
      <c r="C139" s="22">
        <v>600</v>
      </c>
      <c r="D139" s="21"/>
      <c r="E139" s="21" t="s">
        <v>147</v>
      </c>
      <c r="F139" s="226"/>
      <c r="G139" s="241"/>
      <c r="H139" s="259"/>
      <c r="I139" s="7"/>
      <c r="J139" s="7"/>
      <c r="K139" s="1"/>
      <c r="L139" s="21"/>
      <c r="M139" s="1"/>
      <c r="N139" s="1"/>
    </row>
    <row r="140" spans="1:14" ht="11.25" customHeight="1">
      <c r="A140" s="49">
        <v>2210001</v>
      </c>
      <c r="B140" s="49"/>
      <c r="C140" s="22">
        <v>601</v>
      </c>
      <c r="D140" s="21"/>
      <c r="E140" s="21" t="s">
        <v>148</v>
      </c>
      <c r="F140" s="226"/>
      <c r="G140" s="241"/>
      <c r="H140" s="261"/>
      <c r="I140" s="49"/>
      <c r="J140" s="1"/>
      <c r="K140" s="1"/>
      <c r="L140" s="21"/>
      <c r="M140" s="1"/>
      <c r="N140" s="1"/>
    </row>
    <row r="141" spans="1:14" ht="11.25" customHeight="1">
      <c r="A141" s="49">
        <v>2260001</v>
      </c>
      <c r="B141" s="49"/>
      <c r="C141" s="22">
        <v>602</v>
      </c>
      <c r="D141" s="21"/>
      <c r="E141" s="21" t="s">
        <v>43</v>
      </c>
      <c r="F141" s="57" t="s">
        <v>150</v>
      </c>
      <c r="G141" s="241"/>
      <c r="H141" s="261"/>
      <c r="I141" s="49"/>
      <c r="J141" s="21"/>
      <c r="K141" s="21"/>
      <c r="L141" s="21"/>
      <c r="M141" s="1"/>
      <c r="N141" s="1"/>
    </row>
    <row r="142" spans="1:14" ht="11.25" customHeight="1">
      <c r="A142" s="49">
        <v>2270001</v>
      </c>
      <c r="B142" s="49"/>
      <c r="C142" s="22">
        <v>603</v>
      </c>
      <c r="D142" s="21"/>
      <c r="E142" s="21" t="s">
        <v>326</v>
      </c>
      <c r="F142" s="226" t="s">
        <v>297</v>
      </c>
      <c r="G142" s="241"/>
      <c r="H142" s="261"/>
      <c r="I142" s="49"/>
      <c r="J142" s="21"/>
      <c r="K142" s="21"/>
      <c r="L142" s="21"/>
      <c r="M142" s="1"/>
      <c r="N142" s="1"/>
    </row>
    <row r="143" spans="1:14" ht="11.25" customHeight="1">
      <c r="A143" s="49">
        <v>2290001</v>
      </c>
      <c r="B143" s="49"/>
      <c r="C143" s="22">
        <v>604</v>
      </c>
      <c r="D143" s="21"/>
      <c r="E143" s="21" t="s">
        <v>152</v>
      </c>
      <c r="F143" s="226"/>
      <c r="G143" s="241"/>
      <c r="H143" s="261"/>
      <c r="I143" s="49"/>
      <c r="J143" s="21"/>
      <c r="K143" s="21"/>
      <c r="L143" s="21"/>
      <c r="M143" s="1"/>
      <c r="N143" s="1"/>
    </row>
    <row r="144" spans="1:14" ht="12.75" customHeight="1">
      <c r="A144" s="49"/>
      <c r="B144" s="49"/>
      <c r="C144" s="8"/>
      <c r="D144" s="7"/>
      <c r="E144" s="7"/>
      <c r="F144" s="223"/>
      <c r="G144" s="238"/>
      <c r="H144" s="260"/>
      <c r="I144" s="7"/>
      <c r="J144" s="7"/>
      <c r="K144" s="7"/>
      <c r="L144" s="7"/>
      <c r="M144" s="1"/>
      <c r="N144" s="1"/>
    </row>
    <row r="145" spans="1:14" ht="12.75" customHeight="1">
      <c r="A145" s="49"/>
      <c r="B145" s="49"/>
      <c r="C145" s="36">
        <v>61</v>
      </c>
      <c r="D145" s="7"/>
      <c r="E145" s="14" t="s">
        <v>153</v>
      </c>
      <c r="F145" s="223"/>
      <c r="G145" s="238"/>
      <c r="H145" s="265"/>
      <c r="I145" s="49"/>
      <c r="J145" s="49"/>
      <c r="K145" s="7"/>
      <c r="L145" s="7"/>
      <c r="M145" s="1"/>
      <c r="N145" s="1"/>
    </row>
    <row r="146" spans="1:14" ht="12.75" customHeight="1">
      <c r="A146" s="49">
        <v>2150001</v>
      </c>
      <c r="B146" s="49"/>
      <c r="C146" s="22">
        <v>610</v>
      </c>
      <c r="D146" s="21"/>
      <c r="E146" s="21" t="s">
        <v>327</v>
      </c>
      <c r="F146" s="57" t="s">
        <v>328</v>
      </c>
      <c r="G146" s="241"/>
      <c r="H146" s="265"/>
      <c r="I146" s="49"/>
      <c r="J146" s="49"/>
      <c r="K146" s="21"/>
      <c r="L146" s="21"/>
      <c r="M146" s="1"/>
      <c r="N146" s="1"/>
    </row>
    <row r="147" spans="1:14" ht="13.5" customHeight="1" thickBot="1">
      <c r="A147" s="7"/>
      <c r="B147" s="7"/>
      <c r="C147" s="8"/>
      <c r="D147" s="7"/>
      <c r="E147" s="7"/>
      <c r="F147" s="223"/>
      <c r="G147" s="238"/>
      <c r="H147" s="265"/>
      <c r="I147" s="49"/>
      <c r="J147" s="49"/>
      <c r="K147" s="7"/>
      <c r="L147" s="7"/>
      <c r="M147" s="1"/>
      <c r="N147" s="1"/>
    </row>
    <row r="148" spans="1:14" ht="17.25" customHeight="1" thickTop="1" thickBot="1">
      <c r="A148" s="26"/>
      <c r="B148" s="26"/>
      <c r="C148" s="27">
        <v>8</v>
      </c>
      <c r="D148" s="28"/>
      <c r="E148" s="29" t="s">
        <v>145</v>
      </c>
      <c r="F148" s="227"/>
      <c r="G148" s="242"/>
      <c r="H148" s="265"/>
      <c r="I148" s="49"/>
      <c r="J148" s="49"/>
      <c r="K148" s="35"/>
      <c r="L148" s="35"/>
      <c r="M148" s="1"/>
      <c r="N148" s="1"/>
    </row>
    <row r="149" spans="1:14" ht="6" customHeight="1" thickTop="1">
      <c r="A149" s="7"/>
      <c r="B149" s="7"/>
      <c r="C149" s="8"/>
      <c r="D149" s="7"/>
      <c r="E149" s="7"/>
      <c r="F149" s="223"/>
      <c r="G149" s="238"/>
      <c r="H149" s="265"/>
      <c r="I149" s="49"/>
      <c r="J149" s="49"/>
      <c r="K149" s="7"/>
      <c r="L149" s="7"/>
      <c r="M149" s="1"/>
      <c r="N149" s="1"/>
    </row>
    <row r="150" spans="1:14" ht="12.75" customHeight="1">
      <c r="A150" s="11">
        <v>2510001</v>
      </c>
      <c r="B150" s="11"/>
      <c r="C150" s="36">
        <v>80</v>
      </c>
      <c r="D150" s="14"/>
      <c r="E150" s="14" t="s">
        <v>345</v>
      </c>
      <c r="F150" s="225"/>
      <c r="G150" s="240"/>
      <c r="H150" s="265"/>
      <c r="I150" s="49"/>
      <c r="J150" s="49"/>
      <c r="K150" s="14"/>
      <c r="L150" s="14"/>
      <c r="M150" s="1"/>
      <c r="N150" s="1"/>
    </row>
    <row r="151" spans="1:14" ht="12.75" customHeight="1">
      <c r="A151" s="11"/>
      <c r="B151" s="11"/>
      <c r="C151" s="36">
        <v>81</v>
      </c>
      <c r="D151" s="14"/>
      <c r="E151" s="14" t="s">
        <v>157</v>
      </c>
      <c r="F151" s="225"/>
      <c r="G151" s="240"/>
      <c r="H151" s="265"/>
      <c r="I151" s="49"/>
      <c r="J151" s="49"/>
      <c r="K151" s="1"/>
      <c r="L151" s="14"/>
      <c r="M151" s="1"/>
      <c r="N151" s="1"/>
    </row>
    <row r="152" spans="1:14" ht="11.25" customHeight="1">
      <c r="A152" s="49">
        <v>5400001</v>
      </c>
      <c r="B152" s="49"/>
      <c r="C152" s="22" t="s">
        <v>158</v>
      </c>
      <c r="D152" s="21"/>
      <c r="E152" s="21" t="s">
        <v>159</v>
      </c>
      <c r="F152" s="226"/>
      <c r="G152" s="241"/>
      <c r="H152" s="265"/>
      <c r="I152" s="49"/>
      <c r="J152" s="49"/>
      <c r="K152" s="1"/>
      <c r="L152" s="21"/>
      <c r="M152" s="1"/>
      <c r="N152" s="1"/>
    </row>
    <row r="153" spans="1:14" ht="11.25" customHeight="1">
      <c r="A153" s="49">
        <v>2510002</v>
      </c>
      <c r="B153" s="49"/>
      <c r="C153" s="22" t="s">
        <v>161</v>
      </c>
      <c r="D153" s="21"/>
      <c r="E153" s="21" t="s">
        <v>162</v>
      </c>
      <c r="F153" s="226"/>
      <c r="G153" s="241"/>
      <c r="H153" s="265"/>
      <c r="I153" s="49"/>
      <c r="J153" s="49"/>
      <c r="K153" s="1"/>
      <c r="L153" s="21"/>
      <c r="M153" s="1"/>
      <c r="N153" s="1"/>
    </row>
    <row r="154" spans="1:14" ht="12.75" customHeight="1">
      <c r="A154" s="11"/>
      <c r="B154" s="11"/>
      <c r="C154" s="36">
        <v>82</v>
      </c>
      <c r="D154" s="14"/>
      <c r="E154" s="14" t="s">
        <v>163</v>
      </c>
      <c r="F154" s="225"/>
      <c r="G154" s="240"/>
      <c r="H154" s="265"/>
      <c r="I154" s="49"/>
      <c r="J154" s="49"/>
      <c r="K154" s="1"/>
      <c r="L154" s="14"/>
      <c r="M154" s="1"/>
      <c r="N154" s="1"/>
    </row>
    <row r="155" spans="1:14" ht="11.25" customHeight="1">
      <c r="A155" s="49">
        <v>5420001</v>
      </c>
      <c r="B155" s="49"/>
      <c r="C155" s="22" t="s">
        <v>389</v>
      </c>
      <c r="D155" s="21"/>
      <c r="E155" s="21" t="s">
        <v>167</v>
      </c>
      <c r="F155" s="226"/>
      <c r="G155" s="241"/>
      <c r="H155" s="265"/>
      <c r="I155" s="49"/>
      <c r="J155" s="49"/>
      <c r="K155" s="1"/>
      <c r="L155" s="21"/>
      <c r="M155" s="1"/>
      <c r="N155" s="1"/>
    </row>
    <row r="156" spans="1:14" ht="11.25" customHeight="1">
      <c r="A156" s="49">
        <v>2520001</v>
      </c>
      <c r="B156" s="49"/>
      <c r="C156" s="22" t="s">
        <v>390</v>
      </c>
      <c r="D156" s="21"/>
      <c r="E156" s="21" t="s">
        <v>162</v>
      </c>
      <c r="F156" s="226"/>
      <c r="G156" s="241"/>
      <c r="H156" s="265"/>
      <c r="I156" s="49"/>
      <c r="J156" s="49"/>
      <c r="K156" s="1"/>
      <c r="L156" s="21"/>
      <c r="M156" s="1"/>
      <c r="N156" s="1"/>
    </row>
    <row r="157" spans="1:14" ht="12.75" customHeight="1">
      <c r="A157" s="11"/>
      <c r="B157" s="11"/>
      <c r="C157" s="36">
        <v>83</v>
      </c>
      <c r="D157" s="14"/>
      <c r="E157" s="14" t="s">
        <v>393</v>
      </c>
      <c r="F157" s="225"/>
      <c r="G157" s="240"/>
      <c r="H157" s="265"/>
      <c r="I157" s="49"/>
      <c r="J157" s="49"/>
      <c r="K157" s="1"/>
      <c r="L157" s="14"/>
      <c r="M157" s="1"/>
      <c r="N157" s="1"/>
    </row>
    <row r="158" spans="1:14" ht="11.25" customHeight="1">
      <c r="A158" s="49">
        <v>5600001</v>
      </c>
      <c r="B158" s="49"/>
      <c r="C158" s="22" t="s">
        <v>391</v>
      </c>
      <c r="D158" s="21"/>
      <c r="E158" s="21" t="s">
        <v>167</v>
      </c>
      <c r="F158" s="226"/>
      <c r="G158" s="241"/>
      <c r="H158" s="265"/>
      <c r="I158" s="49"/>
      <c r="J158" s="49"/>
      <c r="K158" s="1"/>
      <c r="L158" s="21"/>
      <c r="M158" s="1"/>
      <c r="N158" s="1"/>
    </row>
    <row r="159" spans="1:14" ht="11.25" customHeight="1">
      <c r="A159" s="49">
        <v>2600001</v>
      </c>
      <c r="B159" s="49"/>
      <c r="C159" s="22" t="s">
        <v>392</v>
      </c>
      <c r="D159" s="21"/>
      <c r="E159" s="21" t="s">
        <v>162</v>
      </c>
      <c r="F159" s="226"/>
      <c r="G159" s="241"/>
      <c r="H159" s="265"/>
      <c r="I159" s="49"/>
      <c r="J159" s="49"/>
      <c r="K159" s="1"/>
      <c r="L159" s="21"/>
      <c r="M159" s="1"/>
      <c r="N159" s="1"/>
    </row>
    <row r="160" spans="1:14" ht="12" customHeight="1" thickBot="1">
      <c r="A160" s="7"/>
      <c r="B160" s="7"/>
      <c r="C160" s="8"/>
      <c r="D160" s="7"/>
      <c r="E160" s="7"/>
      <c r="F160" s="223"/>
      <c r="G160" s="238"/>
      <c r="H160" s="265"/>
      <c r="I160" s="49"/>
      <c r="J160" s="49"/>
      <c r="K160" s="1"/>
      <c r="L160" s="7"/>
      <c r="M160" s="1"/>
      <c r="N160" s="1"/>
    </row>
    <row r="161" spans="1:14" ht="17.25" customHeight="1" thickTop="1" thickBot="1">
      <c r="A161" s="26"/>
      <c r="B161" s="26"/>
      <c r="C161" s="27">
        <v>9</v>
      </c>
      <c r="D161" s="28"/>
      <c r="E161" s="29" t="s">
        <v>225</v>
      </c>
      <c r="F161" s="227"/>
      <c r="G161" s="242"/>
      <c r="H161" s="265"/>
      <c r="I161" s="49"/>
      <c r="J161" s="49"/>
      <c r="K161" s="35"/>
      <c r="L161" s="35"/>
      <c r="M161" s="1"/>
      <c r="N161" s="1"/>
    </row>
    <row r="162" spans="1:14" ht="6" customHeight="1" thickTop="1">
      <c r="A162" s="7"/>
      <c r="B162" s="7"/>
      <c r="C162" s="8"/>
      <c r="D162" s="7"/>
      <c r="E162" s="7"/>
      <c r="F162" s="223"/>
      <c r="G162" s="238"/>
      <c r="H162" s="265"/>
      <c r="I162" s="49"/>
      <c r="J162" s="49"/>
      <c r="K162" s="7"/>
      <c r="L162" s="7"/>
      <c r="M162" s="1"/>
      <c r="N162" s="1"/>
    </row>
    <row r="163" spans="1:14" ht="12.75" customHeight="1">
      <c r="A163" s="11"/>
      <c r="B163" s="11"/>
      <c r="C163" s="36">
        <v>91</v>
      </c>
      <c r="D163" s="14"/>
      <c r="E163" s="14" t="s">
        <v>394</v>
      </c>
      <c r="F163" s="225"/>
      <c r="G163" s="240"/>
      <c r="H163" s="265"/>
      <c r="I163" s="49"/>
      <c r="J163" s="49"/>
      <c r="K163" s="14"/>
      <c r="L163" s="14"/>
      <c r="M163" s="1"/>
      <c r="N163" s="1"/>
    </row>
    <row r="164" spans="1:14" ht="12.75" customHeight="1">
      <c r="A164" s="49"/>
      <c r="B164" s="49"/>
      <c r="C164" s="22" t="s">
        <v>174</v>
      </c>
      <c r="D164" s="21"/>
      <c r="E164" s="21" t="s">
        <v>175</v>
      </c>
      <c r="F164" s="226"/>
      <c r="G164" s="241"/>
      <c r="H164" s="261"/>
      <c r="I164" s="49"/>
      <c r="J164" s="21"/>
      <c r="K164" s="21"/>
      <c r="L164" s="21"/>
      <c r="M164" s="1"/>
      <c r="N164" s="1"/>
    </row>
    <row r="165" spans="1:14" ht="11.25" customHeight="1">
      <c r="A165" s="49">
        <v>5200001</v>
      </c>
      <c r="B165" s="49"/>
      <c r="C165" s="22" t="s">
        <v>176</v>
      </c>
      <c r="D165" s="21"/>
      <c r="E165" s="21" t="s">
        <v>167</v>
      </c>
      <c r="F165" s="226"/>
      <c r="G165" s="241"/>
      <c r="H165" s="261"/>
      <c r="I165" s="49"/>
      <c r="J165" s="21"/>
      <c r="K165" s="21"/>
      <c r="L165" s="21"/>
      <c r="M165" s="1"/>
      <c r="N165" s="1"/>
    </row>
    <row r="166" spans="1:14" ht="11.25" customHeight="1">
      <c r="A166" s="49">
        <v>1700001</v>
      </c>
      <c r="B166" s="49"/>
      <c r="C166" s="22" t="s">
        <v>177</v>
      </c>
      <c r="D166" s="21"/>
      <c r="E166" s="21" t="s">
        <v>162</v>
      </c>
      <c r="F166" s="226"/>
      <c r="G166" s="241"/>
      <c r="H166" s="261"/>
      <c r="I166" s="49"/>
      <c r="J166" s="21"/>
      <c r="K166" s="21"/>
      <c r="L166" s="21"/>
      <c r="M166" s="1"/>
      <c r="N166" s="1"/>
    </row>
    <row r="167" spans="1:14" ht="11.25" customHeight="1">
      <c r="A167" s="7"/>
      <c r="B167" s="7"/>
      <c r="C167" s="8"/>
      <c r="D167" s="7"/>
      <c r="E167" s="7"/>
      <c r="F167" s="223"/>
      <c r="G167" s="238"/>
      <c r="H167" s="260"/>
      <c r="I167" s="7"/>
      <c r="J167" s="7"/>
      <c r="K167" s="7"/>
      <c r="L167" s="7"/>
      <c r="M167" s="1"/>
      <c r="N167" s="1"/>
    </row>
    <row r="168" spans="1:14" ht="133.5" customHeight="1">
      <c r="A168" s="7"/>
      <c r="B168" s="7"/>
      <c r="C168" s="8"/>
      <c r="D168" s="7"/>
      <c r="E168" s="7"/>
      <c r="F168" s="223"/>
      <c r="G168" s="238"/>
      <c r="H168" s="260"/>
      <c r="I168" s="7"/>
      <c r="J168" s="7"/>
      <c r="K168" s="7"/>
      <c r="L168" s="7"/>
      <c r="M168" s="1"/>
      <c r="N168" s="1"/>
    </row>
    <row r="169" spans="1:14" ht="212.25" hidden="1" customHeight="1">
      <c r="A169" s="7"/>
      <c r="B169" s="7"/>
      <c r="C169" s="8"/>
      <c r="D169" s="7"/>
      <c r="E169" s="7"/>
      <c r="F169" s="223"/>
      <c r="G169" s="238"/>
      <c r="H169" s="260"/>
      <c r="I169" s="7"/>
      <c r="J169" s="7"/>
      <c r="K169" s="7"/>
      <c r="L169" s="7"/>
      <c r="M169" s="1"/>
      <c r="N169" s="1"/>
    </row>
    <row r="170" spans="1:14" ht="12.75" customHeight="1">
      <c r="A170" s="7"/>
      <c r="B170" s="7"/>
      <c r="C170" s="8"/>
      <c r="D170" s="7"/>
      <c r="E170" s="7"/>
      <c r="F170" s="223"/>
      <c r="G170" s="238"/>
      <c r="H170" s="260"/>
      <c r="I170" s="7"/>
      <c r="J170" s="7"/>
      <c r="K170" s="7"/>
      <c r="L170" s="7"/>
      <c r="M170" s="1"/>
      <c r="N170" s="1"/>
    </row>
    <row r="171" spans="1:14" ht="6" customHeight="1" thickBot="1">
      <c r="A171" s="7"/>
      <c r="B171" s="7"/>
      <c r="C171" s="8"/>
      <c r="D171" s="7"/>
      <c r="E171" s="7"/>
      <c r="F171" s="223"/>
      <c r="G171" s="238"/>
      <c r="H171" s="260"/>
      <c r="I171" s="7"/>
      <c r="J171" s="7"/>
      <c r="K171" s="7"/>
      <c r="L171" s="7"/>
      <c r="M171" s="1"/>
      <c r="N171" s="1"/>
    </row>
    <row r="172" spans="1:14" ht="12.75" customHeight="1">
      <c r="A172" s="396" t="s">
        <v>1</v>
      </c>
      <c r="B172" s="10"/>
      <c r="C172" s="426" t="s">
        <v>2</v>
      </c>
      <c r="D172" s="11"/>
      <c r="E172" s="427" t="s">
        <v>179</v>
      </c>
      <c r="F172" s="228"/>
      <c r="G172" s="246"/>
      <c r="H172" s="262"/>
      <c r="I172" s="7"/>
      <c r="J172" s="7"/>
      <c r="K172" s="14"/>
      <c r="L172" s="14"/>
      <c r="M172" s="15"/>
      <c r="N172" s="15"/>
    </row>
    <row r="173" spans="1:14" ht="27" customHeight="1" thickBot="1">
      <c r="A173" s="397"/>
      <c r="B173" s="10"/>
      <c r="C173" s="410"/>
      <c r="D173" s="14"/>
      <c r="E173" s="424"/>
      <c r="F173" s="225"/>
      <c r="G173" s="240"/>
      <c r="H173" s="263"/>
      <c r="I173" s="7"/>
      <c r="J173" s="7"/>
      <c r="K173" s="14"/>
      <c r="L173" s="14"/>
      <c r="M173" s="15"/>
      <c r="N173" s="15"/>
    </row>
    <row r="174" spans="1:14" ht="15.75" customHeight="1" thickBot="1">
      <c r="A174" s="21"/>
      <c r="B174" s="21"/>
      <c r="C174" s="22"/>
      <c r="D174" s="21"/>
      <c r="E174" s="21"/>
      <c r="F174" s="226"/>
      <c r="G174" s="241"/>
      <c r="H174" s="261"/>
      <c r="I174" s="7"/>
      <c r="J174" s="7"/>
      <c r="K174" s="21"/>
      <c r="L174" s="21"/>
      <c r="M174" s="25"/>
      <c r="N174" s="25"/>
    </row>
    <row r="175" spans="1:14" ht="17.25" customHeight="1" thickTop="1" thickBot="1">
      <c r="A175" s="26"/>
      <c r="B175" s="26"/>
      <c r="C175" s="27">
        <v>1</v>
      </c>
      <c r="D175" s="28"/>
      <c r="E175" s="29" t="s">
        <v>181</v>
      </c>
      <c r="F175" s="227"/>
      <c r="G175" s="242"/>
      <c r="H175" s="264"/>
      <c r="I175" s="7"/>
      <c r="J175" s="7"/>
      <c r="K175" s="35"/>
      <c r="L175" s="35"/>
      <c r="M175" s="1"/>
      <c r="N175" s="1"/>
    </row>
    <row r="176" spans="1:14" ht="6" customHeight="1" thickTop="1">
      <c r="A176" s="7"/>
      <c r="B176" s="7"/>
      <c r="C176" s="8"/>
      <c r="D176" s="7"/>
      <c r="E176" s="7"/>
      <c r="F176" s="223"/>
      <c r="G176" s="238"/>
      <c r="H176" s="260"/>
      <c r="I176" s="7"/>
      <c r="J176" s="7"/>
      <c r="K176" s="7"/>
      <c r="L176" s="7"/>
      <c r="M176" s="1"/>
      <c r="N176" s="1"/>
    </row>
    <row r="177" spans="1:14" ht="12.75" customHeight="1">
      <c r="A177" s="7"/>
      <c r="B177" s="7"/>
      <c r="C177" s="36">
        <v>10</v>
      </c>
      <c r="D177" s="7"/>
      <c r="E177" s="14" t="s">
        <v>182</v>
      </c>
      <c r="F177" s="223"/>
      <c r="G177" s="238"/>
      <c r="H177" s="260"/>
      <c r="I177" s="7"/>
      <c r="J177" s="7"/>
      <c r="K177" s="7"/>
      <c r="L177" s="7"/>
      <c r="M177" s="1"/>
      <c r="N177" s="1"/>
    </row>
    <row r="178" spans="1:14" ht="11.25" customHeight="1">
      <c r="A178" s="49">
        <v>7060001</v>
      </c>
      <c r="B178" s="49"/>
      <c r="C178" s="22">
        <v>100</v>
      </c>
      <c r="D178" s="21"/>
      <c r="E178" s="21" t="s">
        <v>395</v>
      </c>
      <c r="F178" s="226" t="s">
        <v>298</v>
      </c>
      <c r="G178" s="241"/>
      <c r="H178" s="261"/>
      <c r="I178" s="7"/>
      <c r="J178" s="7"/>
      <c r="K178" s="21"/>
      <c r="L178" s="21"/>
      <c r="M178" s="1"/>
      <c r="N178" s="1"/>
    </row>
    <row r="179" spans="1:14" ht="6" customHeight="1" thickBot="1">
      <c r="A179" s="7"/>
      <c r="B179" s="7"/>
      <c r="C179" s="8"/>
      <c r="D179" s="7"/>
      <c r="E179" s="7"/>
      <c r="F179" s="223"/>
      <c r="G179" s="238"/>
      <c r="H179" s="260"/>
      <c r="I179" s="7"/>
      <c r="J179" s="7"/>
      <c r="K179" s="7"/>
      <c r="L179" s="7"/>
      <c r="M179" s="1"/>
      <c r="N179" s="1"/>
    </row>
    <row r="180" spans="1:14" ht="17.25" customHeight="1" thickTop="1" thickBot="1">
      <c r="A180" s="26"/>
      <c r="B180" s="26"/>
      <c r="C180" s="27">
        <v>3</v>
      </c>
      <c r="D180" s="28"/>
      <c r="E180" s="29" t="s">
        <v>160</v>
      </c>
      <c r="F180" s="227"/>
      <c r="G180" s="242"/>
      <c r="H180" s="264"/>
      <c r="I180" s="7"/>
      <c r="J180" s="7"/>
      <c r="K180" s="35"/>
      <c r="L180" s="35"/>
      <c r="M180" s="1"/>
      <c r="N180" s="1"/>
    </row>
    <row r="181" spans="1:14" ht="6" customHeight="1" thickTop="1">
      <c r="A181" s="7"/>
      <c r="B181" s="7"/>
      <c r="C181" s="8"/>
      <c r="D181" s="7"/>
      <c r="E181" s="7"/>
      <c r="F181" s="223"/>
      <c r="G181" s="238"/>
      <c r="H181" s="260"/>
      <c r="I181" s="7"/>
      <c r="J181" s="7"/>
      <c r="K181" s="7"/>
      <c r="L181" s="7"/>
      <c r="M181" s="1"/>
      <c r="N181" s="1"/>
    </row>
    <row r="182" spans="1:14" ht="12.75" customHeight="1">
      <c r="A182" s="7"/>
      <c r="B182" s="7"/>
      <c r="C182" s="36">
        <v>30</v>
      </c>
      <c r="D182" s="7"/>
      <c r="E182" s="14" t="s">
        <v>346</v>
      </c>
      <c r="F182" s="223"/>
      <c r="G182" s="238"/>
      <c r="H182" s="260"/>
      <c r="I182" s="11"/>
      <c r="J182" s="7"/>
      <c r="K182" s="7"/>
      <c r="L182" s="7"/>
      <c r="M182" s="1"/>
      <c r="N182" s="1"/>
    </row>
    <row r="183" spans="1:14" ht="11.25" customHeight="1">
      <c r="A183" s="49">
        <v>7020002</v>
      </c>
      <c r="B183" s="49"/>
      <c r="C183" s="22" t="s">
        <v>190</v>
      </c>
      <c r="D183" s="21"/>
      <c r="E183" s="21" t="s">
        <v>331</v>
      </c>
      <c r="F183" s="226" t="s">
        <v>330</v>
      </c>
      <c r="G183" s="248"/>
      <c r="H183" s="261"/>
      <c r="I183" s="49"/>
      <c r="J183" s="118"/>
      <c r="K183" s="1"/>
      <c r="L183" s="21"/>
      <c r="M183" s="1"/>
      <c r="N183" s="1"/>
    </row>
    <row r="184" spans="1:14" ht="11.25" customHeight="1">
      <c r="A184" s="49">
        <v>7020002</v>
      </c>
      <c r="B184" s="49"/>
      <c r="C184" s="22" t="s">
        <v>190</v>
      </c>
      <c r="D184" s="21"/>
      <c r="E184" s="21" t="s">
        <v>332</v>
      </c>
      <c r="F184" s="226" t="s">
        <v>320</v>
      </c>
      <c r="G184" s="248"/>
      <c r="H184" s="261"/>
      <c r="I184" s="49"/>
      <c r="J184" s="118"/>
      <c r="K184" s="1"/>
      <c r="L184" s="21"/>
      <c r="M184" s="1"/>
      <c r="N184" s="1"/>
    </row>
    <row r="185" spans="1:14" ht="11.25" customHeight="1">
      <c r="A185" s="49">
        <v>7020001</v>
      </c>
      <c r="B185" s="49"/>
      <c r="C185" s="22" t="s">
        <v>187</v>
      </c>
      <c r="D185" s="57"/>
      <c r="E185" s="21" t="s">
        <v>188</v>
      </c>
      <c r="F185" s="226" t="s">
        <v>329</v>
      </c>
      <c r="G185" s="243"/>
      <c r="H185" s="261"/>
      <c r="I185" s="49"/>
      <c r="J185" s="21"/>
      <c r="K185" s="21"/>
      <c r="L185" s="21"/>
      <c r="M185" s="1"/>
      <c r="N185" s="1"/>
    </row>
    <row r="186" spans="1:14" ht="5.25" customHeight="1">
      <c r="A186" s="7"/>
      <c r="B186" s="7"/>
      <c r="C186" s="22"/>
      <c r="D186" s="7"/>
      <c r="E186" s="21"/>
      <c r="F186" s="223"/>
      <c r="G186" s="238"/>
      <c r="H186" s="260"/>
      <c r="I186" s="7"/>
      <c r="J186" s="66"/>
      <c r="K186" s="1"/>
      <c r="L186" s="7"/>
      <c r="M186" s="1"/>
      <c r="N186" s="1"/>
    </row>
    <row r="187" spans="1:14" ht="12.75" customHeight="1">
      <c r="A187" s="7"/>
      <c r="B187" s="7"/>
      <c r="C187" s="36">
        <v>31</v>
      </c>
      <c r="D187" s="7"/>
      <c r="E187" s="14" t="s">
        <v>193</v>
      </c>
      <c r="F187" s="223"/>
      <c r="G187" s="238"/>
      <c r="H187" s="260"/>
      <c r="I187" s="11"/>
      <c r="J187" s="7"/>
      <c r="K187" s="7"/>
      <c r="L187" s="7"/>
      <c r="M187" s="1"/>
      <c r="N187" s="1"/>
    </row>
    <row r="188" spans="1:14" ht="12.75" customHeight="1">
      <c r="A188" s="49">
        <v>7050002</v>
      </c>
      <c r="B188" s="49"/>
      <c r="C188" s="22" t="s">
        <v>194</v>
      </c>
      <c r="D188" s="21"/>
      <c r="E188" s="21" t="s">
        <v>347</v>
      </c>
      <c r="F188" s="226" t="s">
        <v>196</v>
      </c>
      <c r="G188" s="237"/>
      <c r="H188" s="261"/>
      <c r="I188" s="49"/>
      <c r="J188" s="118"/>
      <c r="K188" s="1"/>
      <c r="L188" s="21"/>
      <c r="M188" s="1"/>
      <c r="N188" s="1"/>
    </row>
    <row r="189" spans="1:14" ht="12.75" customHeight="1">
      <c r="A189" s="49"/>
      <c r="B189" s="49"/>
      <c r="C189" s="22" t="s">
        <v>197</v>
      </c>
      <c r="D189" s="21"/>
      <c r="E189" s="21" t="s">
        <v>349</v>
      </c>
      <c r="F189" s="226" t="s">
        <v>299</v>
      </c>
      <c r="G189" s="237"/>
      <c r="H189" s="261"/>
      <c r="I189" s="49"/>
      <c r="J189" s="118"/>
      <c r="K189" s="1"/>
      <c r="L189" s="21"/>
      <c r="M189" s="1"/>
      <c r="N189" s="1"/>
    </row>
    <row r="190" spans="1:14" ht="12.75" customHeight="1">
      <c r="A190" s="49"/>
      <c r="B190" s="49"/>
      <c r="C190" s="22" t="s">
        <v>200</v>
      </c>
      <c r="D190" s="21"/>
      <c r="E190" s="21" t="s">
        <v>201</v>
      </c>
      <c r="F190" s="226"/>
      <c r="G190" s="241"/>
      <c r="H190" s="261"/>
      <c r="I190" s="49"/>
      <c r="J190" s="118"/>
      <c r="K190" s="1"/>
      <c r="L190" s="21"/>
      <c r="M190" s="1"/>
      <c r="N190" s="1"/>
    </row>
    <row r="191" spans="1:14" ht="5.25" customHeight="1">
      <c r="A191" s="7"/>
      <c r="B191" s="7"/>
      <c r="C191" s="8"/>
      <c r="D191" s="7"/>
      <c r="E191" s="86"/>
      <c r="F191" s="223"/>
      <c r="G191" s="238"/>
      <c r="H191" s="265"/>
      <c r="I191" s="49"/>
      <c r="J191" s="49"/>
      <c r="K191" s="1"/>
      <c r="L191" s="7"/>
      <c r="M191" s="1"/>
      <c r="N191" s="1"/>
    </row>
    <row r="192" spans="1:14" ht="12.75" customHeight="1">
      <c r="A192" s="7" t="s">
        <v>205</v>
      </c>
      <c r="B192" s="7"/>
      <c r="C192" s="36">
        <v>32</v>
      </c>
      <c r="D192" s="7"/>
      <c r="E192" s="14" t="s">
        <v>348</v>
      </c>
      <c r="F192" s="275" t="s">
        <v>300</v>
      </c>
      <c r="G192" s="238"/>
      <c r="H192" s="265"/>
      <c r="I192" s="49"/>
      <c r="J192" s="49"/>
      <c r="K192" s="7"/>
      <c r="L192" s="7"/>
      <c r="M192" s="1"/>
      <c r="N192" s="1"/>
    </row>
    <row r="193" spans="1:14" ht="4.5" customHeight="1">
      <c r="A193" s="7"/>
      <c r="B193" s="7"/>
      <c r="C193" s="8"/>
      <c r="D193" s="87"/>
      <c r="E193" s="7"/>
      <c r="F193" s="231"/>
      <c r="G193" s="238"/>
      <c r="H193" s="265"/>
      <c r="I193" s="49"/>
      <c r="J193" s="49"/>
      <c r="K193" s="1"/>
      <c r="L193" s="7"/>
      <c r="M193" s="1"/>
      <c r="N193" s="1"/>
    </row>
    <row r="194" spans="1:14" ht="12.75" customHeight="1">
      <c r="A194" s="7"/>
      <c r="B194" s="7"/>
      <c r="C194" s="36">
        <v>33</v>
      </c>
      <c r="D194" s="7"/>
      <c r="E194" s="14" t="s">
        <v>208</v>
      </c>
      <c r="F194" s="223"/>
      <c r="G194" s="238"/>
      <c r="H194" s="265"/>
      <c r="I194" s="49"/>
      <c r="J194" s="49"/>
      <c r="K194" s="7"/>
      <c r="L194" s="7"/>
      <c r="M194" s="1"/>
      <c r="N194" s="1"/>
    </row>
    <row r="195" spans="1:14" ht="11.25" customHeight="1">
      <c r="A195" s="49">
        <v>7020003</v>
      </c>
      <c r="B195" s="49"/>
      <c r="C195" s="22" t="s">
        <v>209</v>
      </c>
      <c r="D195" s="21"/>
      <c r="E195" s="21" t="s">
        <v>210</v>
      </c>
      <c r="F195" s="226" t="s">
        <v>333</v>
      </c>
      <c r="G195" s="237"/>
      <c r="H195" s="265"/>
      <c r="I195" s="49"/>
      <c r="J195" s="49"/>
      <c r="K195" s="21"/>
      <c r="L195" s="21"/>
      <c r="M195" s="1"/>
      <c r="N195" s="1"/>
    </row>
    <row r="196" spans="1:14" ht="11.25" customHeight="1">
      <c r="A196" s="49">
        <v>7050005</v>
      </c>
      <c r="B196" s="49"/>
      <c r="C196" s="22" t="s">
        <v>217</v>
      </c>
      <c r="D196" s="21"/>
      <c r="E196" s="21" t="s">
        <v>218</v>
      </c>
      <c r="F196" s="232"/>
      <c r="G196" s="241"/>
      <c r="H196" s="265"/>
      <c r="I196" s="49"/>
      <c r="J196" s="49"/>
      <c r="K196" s="21"/>
      <c r="L196" s="21"/>
      <c r="M196" s="1"/>
      <c r="N196" s="1"/>
    </row>
    <row r="197" spans="1:14" ht="11.25" customHeight="1">
      <c r="A197" s="49"/>
      <c r="B197" s="49"/>
      <c r="C197" s="22" t="s">
        <v>214</v>
      </c>
      <c r="D197" s="21"/>
      <c r="E197" s="21" t="s">
        <v>350</v>
      </c>
      <c r="F197" s="226" t="s">
        <v>351</v>
      </c>
      <c r="G197" s="241"/>
      <c r="H197" s="265"/>
      <c r="I197" s="49"/>
      <c r="J197" s="49"/>
      <c r="K197" s="21"/>
      <c r="L197" s="21"/>
      <c r="M197" s="1"/>
      <c r="N197" s="1"/>
    </row>
    <row r="198" spans="1:14" ht="4.5" customHeight="1" thickBot="1">
      <c r="A198" s="7"/>
      <c r="B198" s="7"/>
      <c r="C198" s="8"/>
      <c r="D198" s="7"/>
      <c r="E198" s="7"/>
      <c r="F198" s="223"/>
      <c r="G198" s="238"/>
      <c r="H198" s="265"/>
      <c r="I198" s="49"/>
      <c r="J198" s="49"/>
      <c r="K198" s="7"/>
      <c r="L198" s="7"/>
      <c r="M198" s="1"/>
      <c r="N198" s="1"/>
    </row>
    <row r="199" spans="1:14" ht="17.25" customHeight="1" thickTop="1" thickBot="1">
      <c r="A199" s="26"/>
      <c r="B199" s="26"/>
      <c r="C199" s="27">
        <v>4</v>
      </c>
      <c r="D199" s="28"/>
      <c r="E199" s="29" t="s">
        <v>164</v>
      </c>
      <c r="F199" s="227"/>
      <c r="G199" s="242"/>
      <c r="H199" s="265"/>
      <c r="I199" s="49"/>
      <c r="J199" s="49"/>
      <c r="K199" s="35"/>
      <c r="L199" s="35"/>
      <c r="M199" s="1"/>
      <c r="N199" s="1"/>
    </row>
    <row r="200" spans="1:14" ht="6.75" customHeight="1" thickTop="1" thickBot="1">
      <c r="A200" s="7"/>
      <c r="B200" s="7"/>
      <c r="C200" s="8"/>
      <c r="D200" s="7"/>
      <c r="E200" s="7"/>
      <c r="F200" s="223"/>
      <c r="G200" s="238"/>
      <c r="H200" s="265"/>
      <c r="I200" s="49"/>
      <c r="J200" s="49"/>
      <c r="K200" s="7"/>
      <c r="L200" s="7"/>
      <c r="M200" s="1"/>
      <c r="N200" s="1"/>
    </row>
    <row r="201" spans="1:14" ht="17.25" customHeight="1" thickTop="1" thickBot="1">
      <c r="A201" s="26">
        <v>7520001</v>
      </c>
      <c r="B201" s="26"/>
      <c r="C201" s="27">
        <v>5</v>
      </c>
      <c r="D201" s="28"/>
      <c r="E201" s="29" t="s">
        <v>165</v>
      </c>
      <c r="F201" s="227"/>
      <c r="G201" s="242"/>
      <c r="H201" s="265"/>
      <c r="I201" s="49"/>
      <c r="J201" s="49"/>
      <c r="K201" s="35"/>
      <c r="L201" s="35"/>
      <c r="M201" s="1"/>
      <c r="N201" s="1"/>
    </row>
    <row r="202" spans="1:14" ht="6" customHeight="1" thickTop="1">
      <c r="A202" s="7"/>
      <c r="B202" s="7"/>
      <c r="C202" s="8"/>
      <c r="D202" s="7"/>
      <c r="E202" s="7"/>
      <c r="F202" s="223"/>
      <c r="G202" s="238"/>
      <c r="H202" s="265"/>
      <c r="I202" s="49"/>
      <c r="J202" s="49"/>
      <c r="K202" s="7"/>
      <c r="L202" s="7"/>
      <c r="M202" s="1"/>
      <c r="N202" s="1"/>
    </row>
    <row r="203" spans="1:14" ht="12.75" customHeight="1">
      <c r="A203" s="7">
        <v>7690001</v>
      </c>
      <c r="B203" s="7"/>
      <c r="C203" s="36">
        <v>50</v>
      </c>
      <c r="D203" s="7"/>
      <c r="E203" s="14" t="s">
        <v>354</v>
      </c>
      <c r="F203" s="223"/>
      <c r="G203" s="238"/>
      <c r="H203" s="265"/>
      <c r="I203" s="49"/>
      <c r="J203" s="49"/>
      <c r="K203" s="7"/>
      <c r="L203" s="7"/>
      <c r="M203" s="1"/>
      <c r="N203" s="1"/>
    </row>
    <row r="204" spans="1:14" ht="12.75" customHeight="1">
      <c r="A204" s="7">
        <v>7690002</v>
      </c>
      <c r="B204" s="7"/>
      <c r="C204" s="36">
        <v>53</v>
      </c>
      <c r="D204" s="7"/>
      <c r="E204" s="14" t="s">
        <v>355</v>
      </c>
      <c r="F204" s="223"/>
      <c r="G204" s="238"/>
      <c r="H204" s="265"/>
      <c r="I204" s="49"/>
      <c r="J204" s="49"/>
      <c r="K204" s="7"/>
      <c r="L204" s="7"/>
      <c r="M204" s="1"/>
      <c r="N204" s="1"/>
    </row>
    <row r="205" spans="1:14" ht="12.75" customHeight="1">
      <c r="A205" s="7">
        <v>7690003</v>
      </c>
      <c r="B205" s="7"/>
      <c r="C205" s="36">
        <v>54</v>
      </c>
      <c r="D205" s="7"/>
      <c r="E205" s="14" t="s">
        <v>356</v>
      </c>
      <c r="F205" s="223"/>
      <c r="G205" s="238"/>
      <c r="H205" s="265"/>
      <c r="I205" s="49"/>
      <c r="J205" s="49"/>
      <c r="K205" s="7"/>
      <c r="L205" s="7"/>
      <c r="M205" s="1"/>
      <c r="N205" s="1"/>
    </row>
    <row r="206" spans="1:14" ht="5.25" customHeight="1" thickBot="1">
      <c r="A206" s="7"/>
      <c r="B206" s="7"/>
      <c r="C206" s="8"/>
      <c r="D206" s="7"/>
      <c r="E206" s="7"/>
      <c r="F206" s="223"/>
      <c r="G206" s="238"/>
      <c r="H206" s="265"/>
      <c r="I206" s="49"/>
      <c r="J206" s="49"/>
      <c r="K206" s="7"/>
      <c r="L206" s="7"/>
      <c r="M206" s="1"/>
      <c r="N206" s="1"/>
    </row>
    <row r="207" spans="1:14" ht="17.25" customHeight="1" thickTop="1" thickBot="1">
      <c r="A207" s="26"/>
      <c r="B207" s="26"/>
      <c r="C207" s="27">
        <v>8</v>
      </c>
      <c r="D207" s="28"/>
      <c r="E207" s="29" t="s">
        <v>145</v>
      </c>
      <c r="F207" s="227"/>
      <c r="G207" s="242"/>
      <c r="H207" s="265"/>
      <c r="I207" s="49"/>
      <c r="J207" s="49"/>
      <c r="K207" s="35"/>
      <c r="L207" s="35"/>
      <c r="M207" s="1"/>
      <c r="N207" s="1"/>
    </row>
    <row r="208" spans="1:14" ht="6" customHeight="1" thickTop="1">
      <c r="A208" s="7"/>
      <c r="B208" s="7"/>
      <c r="C208" s="8"/>
      <c r="D208" s="7"/>
      <c r="E208" s="7"/>
      <c r="F208" s="223"/>
      <c r="G208" s="238"/>
      <c r="H208" s="265"/>
      <c r="I208" s="49"/>
      <c r="J208" s="49"/>
      <c r="K208" s="7"/>
      <c r="L208" s="7"/>
      <c r="M208" s="1"/>
      <c r="N208" s="1"/>
    </row>
    <row r="209" spans="1:14" ht="12.75" customHeight="1">
      <c r="A209" s="7"/>
      <c r="B209" s="7"/>
      <c r="C209" s="36">
        <v>82</v>
      </c>
      <c r="D209" s="7"/>
      <c r="E209" s="14" t="s">
        <v>222</v>
      </c>
      <c r="F209" s="223"/>
      <c r="G209" s="238"/>
      <c r="H209" s="265"/>
      <c r="I209" s="49"/>
      <c r="J209" s="49"/>
      <c r="K209" s="7"/>
      <c r="L209" s="7"/>
      <c r="M209" s="1"/>
      <c r="N209" s="1"/>
    </row>
    <row r="210" spans="1:14" ht="12.75" customHeight="1">
      <c r="A210" s="7"/>
      <c r="B210" s="7"/>
      <c r="C210" s="36">
        <v>83</v>
      </c>
      <c r="D210" s="7"/>
      <c r="E210" s="14" t="s">
        <v>352</v>
      </c>
      <c r="F210" s="223"/>
      <c r="G210" s="238"/>
      <c r="H210" s="265"/>
      <c r="I210" s="49"/>
      <c r="J210" s="49"/>
      <c r="K210" s="7"/>
      <c r="L210" s="7"/>
      <c r="M210" s="1"/>
      <c r="N210" s="1"/>
    </row>
    <row r="211" spans="1:14" ht="12.75" customHeight="1">
      <c r="A211" s="7"/>
      <c r="B211" s="7"/>
      <c r="C211" s="36">
        <v>87</v>
      </c>
      <c r="D211" s="7"/>
      <c r="E211" s="14" t="s">
        <v>353</v>
      </c>
      <c r="F211" s="223"/>
      <c r="G211" s="238"/>
      <c r="H211" s="265"/>
      <c r="I211" s="49"/>
      <c r="J211" s="49"/>
      <c r="K211" s="7"/>
      <c r="L211" s="7"/>
      <c r="M211" s="1"/>
      <c r="N211" s="1"/>
    </row>
    <row r="212" spans="1:14" ht="6" customHeight="1" thickBot="1">
      <c r="A212" s="7"/>
      <c r="B212" s="7"/>
      <c r="C212" s="8"/>
      <c r="D212" s="7"/>
      <c r="E212" s="7"/>
      <c r="F212" s="223"/>
      <c r="G212" s="238"/>
      <c r="H212" s="265"/>
      <c r="I212" s="49"/>
      <c r="J212" s="49"/>
      <c r="K212" s="7"/>
      <c r="L212" s="7"/>
      <c r="M212" s="1"/>
      <c r="N212" s="1"/>
    </row>
    <row r="213" spans="1:14" ht="17.25" customHeight="1" thickTop="1" thickBot="1">
      <c r="A213" s="26"/>
      <c r="B213" s="26"/>
      <c r="C213" s="27">
        <v>9</v>
      </c>
      <c r="D213" s="28"/>
      <c r="E213" s="29" t="s">
        <v>225</v>
      </c>
      <c r="F213" s="227"/>
      <c r="G213" s="242"/>
      <c r="H213" s="265"/>
      <c r="I213" s="49"/>
      <c r="J213" s="49"/>
      <c r="K213" s="35"/>
      <c r="L213" s="35"/>
      <c r="M213" s="1"/>
      <c r="N213" s="1"/>
    </row>
    <row r="214" spans="1:14" ht="6" customHeight="1" thickTop="1">
      <c r="A214" s="7"/>
      <c r="B214" s="7"/>
      <c r="C214" s="8"/>
      <c r="D214" s="7"/>
      <c r="E214" s="7"/>
      <c r="F214" s="223"/>
      <c r="G214" s="238"/>
      <c r="H214" s="265"/>
      <c r="I214" s="49"/>
      <c r="J214" s="49"/>
      <c r="K214" s="7"/>
      <c r="L214" s="7"/>
      <c r="M214" s="1"/>
      <c r="N214" s="1"/>
    </row>
    <row r="215" spans="1:14" ht="12.75" customHeight="1">
      <c r="A215" s="7"/>
      <c r="B215" s="7"/>
      <c r="C215" s="36">
        <v>92</v>
      </c>
      <c r="D215" s="7"/>
      <c r="E215" s="14" t="s">
        <v>226</v>
      </c>
      <c r="F215" s="223"/>
      <c r="G215" s="238"/>
      <c r="H215" s="265"/>
      <c r="I215" s="49"/>
      <c r="J215" s="49"/>
      <c r="K215" s="7"/>
      <c r="L215" s="7"/>
      <c r="M215" s="1"/>
      <c r="N215" s="1"/>
    </row>
    <row r="216" spans="1:14" ht="12.75" customHeight="1">
      <c r="A216" s="7"/>
      <c r="B216" s="7"/>
      <c r="C216" s="36">
        <v>93</v>
      </c>
      <c r="D216" s="7"/>
      <c r="E216" s="14" t="s">
        <v>227</v>
      </c>
      <c r="F216" s="223"/>
      <c r="G216" s="238"/>
      <c r="H216" s="260"/>
      <c r="I216" s="11"/>
      <c r="J216" s="7"/>
      <c r="K216" s="7"/>
      <c r="L216" s="7"/>
      <c r="M216" s="1"/>
      <c r="N216" s="1"/>
    </row>
    <row r="217" spans="1:14" ht="7.5" customHeight="1">
      <c r="A217" s="7"/>
      <c r="B217" s="7"/>
      <c r="C217" s="36"/>
      <c r="D217" s="7"/>
      <c r="E217" s="14"/>
      <c r="F217" s="223"/>
      <c r="G217" s="238"/>
      <c r="H217" s="260"/>
      <c r="I217" s="11"/>
      <c r="J217" s="7"/>
      <c r="K217" s="7"/>
      <c r="L217" s="7"/>
      <c r="M217" s="1"/>
      <c r="N217" s="1"/>
    </row>
    <row r="218" spans="1:14" ht="144.75" customHeight="1">
      <c r="A218" s="1"/>
      <c r="B218" s="1"/>
      <c r="C218" s="2"/>
      <c r="D218" s="1"/>
      <c r="E218" s="1"/>
      <c r="F218" s="223"/>
      <c r="G218" s="237"/>
      <c r="H218" s="258"/>
      <c r="I218" s="1"/>
      <c r="J218" s="1"/>
      <c r="K218" s="1"/>
      <c r="L218" s="1"/>
      <c r="M218" s="1"/>
      <c r="N218" s="1"/>
    </row>
    <row r="219" spans="1:14" ht="15.75" customHeight="1">
      <c r="A219" s="1"/>
      <c r="B219" s="1"/>
      <c r="C219" s="2"/>
      <c r="D219" s="1"/>
      <c r="E219" s="1"/>
      <c r="F219" s="223"/>
      <c r="G219" s="237"/>
      <c r="H219" s="258"/>
      <c r="I219" s="1"/>
      <c r="J219" s="1"/>
      <c r="K219" s="1"/>
      <c r="L219" s="1"/>
      <c r="M219" s="1"/>
      <c r="N219" s="1"/>
    </row>
    <row r="220" spans="1:14" ht="10.5" customHeight="1" thickBot="1">
      <c r="A220" s="7"/>
      <c r="B220" s="7"/>
      <c r="C220" s="8"/>
      <c r="D220" s="7"/>
      <c r="E220" s="7"/>
      <c r="F220" s="223"/>
      <c r="G220" s="238"/>
      <c r="H220" s="260"/>
      <c r="I220" s="7"/>
      <c r="J220" s="7"/>
      <c r="K220" s="7"/>
      <c r="L220" s="7"/>
      <c r="M220" s="1"/>
      <c r="N220" s="1"/>
    </row>
    <row r="221" spans="1:14" ht="14.1" customHeight="1">
      <c r="A221" s="122"/>
      <c r="B221" s="122"/>
      <c r="C221" s="428" t="s">
        <v>229</v>
      </c>
      <c r="D221" s="122"/>
      <c r="E221" s="411" t="s">
        <v>230</v>
      </c>
      <c r="F221" s="233"/>
      <c r="G221" s="249"/>
      <c r="H221" s="267"/>
      <c r="I221" s="124"/>
      <c r="J221" s="122"/>
      <c r="K221" s="122"/>
      <c r="L221" s="122"/>
      <c r="M221" s="125"/>
      <c r="N221" s="125"/>
    </row>
    <row r="222" spans="1:14" ht="25.5" customHeight="1" thickBot="1">
      <c r="A222" s="122"/>
      <c r="B222" s="122"/>
      <c r="C222" s="410"/>
      <c r="D222" s="122"/>
      <c r="E222" s="410"/>
      <c r="F222" s="233"/>
      <c r="G222" s="257" t="s">
        <v>302</v>
      </c>
      <c r="H222" s="270" t="s">
        <v>303</v>
      </c>
      <c r="I222" s="124"/>
      <c r="J222" s="122"/>
      <c r="K222" s="122"/>
      <c r="L222" s="122"/>
      <c r="M222" s="125"/>
      <c r="N222" s="125"/>
    </row>
    <row r="223" spans="1:14" ht="6" customHeight="1" thickBot="1">
      <c r="A223" s="7"/>
      <c r="B223" s="7"/>
      <c r="C223" s="8"/>
      <c r="D223" s="7"/>
      <c r="E223" s="7"/>
      <c r="F223" s="223"/>
      <c r="G223" s="250"/>
      <c r="H223" s="271"/>
      <c r="I223" s="7"/>
      <c r="J223" s="7"/>
      <c r="K223" s="7"/>
      <c r="L223" s="7"/>
      <c r="M223" s="1"/>
      <c r="N223" s="1"/>
    </row>
    <row r="224" spans="1:14" ht="14.25" customHeight="1">
      <c r="A224" s="8"/>
      <c r="B224" s="8"/>
      <c r="C224" s="126">
        <v>1</v>
      </c>
      <c r="D224" s="127"/>
      <c r="E224" s="128" t="s">
        <v>231</v>
      </c>
      <c r="F224" s="234"/>
      <c r="G224" s="251">
        <v>101900</v>
      </c>
      <c r="H224" s="272">
        <v>102000</v>
      </c>
      <c r="I224" s="36"/>
      <c r="J224" s="8"/>
      <c r="K224" s="8"/>
      <c r="L224" s="8"/>
      <c r="M224" s="2"/>
      <c r="N224" s="2"/>
    </row>
    <row r="225" spans="1:14" ht="18" customHeight="1">
      <c r="A225" s="8"/>
      <c r="B225" s="8"/>
      <c r="C225" s="141">
        <v>2</v>
      </c>
      <c r="D225" s="127"/>
      <c r="E225" s="142" t="s">
        <v>398</v>
      </c>
      <c r="F225" s="234"/>
      <c r="G225" s="251">
        <v>162100</v>
      </c>
      <c r="H225" s="272">
        <v>161202</v>
      </c>
      <c r="I225" s="36" t="s">
        <v>357</v>
      </c>
      <c r="J225" s="8"/>
      <c r="K225" s="8"/>
      <c r="L225" s="8"/>
      <c r="M225" s="2"/>
      <c r="N225" s="2"/>
    </row>
    <row r="226" spans="1:14" s="285" customFormat="1" ht="18" customHeight="1">
      <c r="A226" s="277"/>
      <c r="B226" s="277"/>
      <c r="C226" s="278">
        <v>3</v>
      </c>
      <c r="D226" s="279"/>
      <c r="E226" s="280" t="s">
        <v>235</v>
      </c>
      <c r="F226" s="281"/>
      <c r="G226" s="255"/>
      <c r="H226" s="282"/>
      <c r="I226" s="283"/>
      <c r="J226" s="277"/>
      <c r="K226" s="277"/>
      <c r="L226" s="277"/>
      <c r="M226" s="284"/>
      <c r="N226" s="284"/>
    </row>
    <row r="227" spans="1:14" ht="18" customHeight="1">
      <c r="A227" s="8"/>
      <c r="B227" s="8"/>
      <c r="C227" s="141">
        <v>4</v>
      </c>
      <c r="D227" s="127"/>
      <c r="E227" s="142" t="s">
        <v>236</v>
      </c>
      <c r="F227" s="234"/>
      <c r="G227" s="251">
        <v>12000</v>
      </c>
      <c r="H227" s="272">
        <v>12000</v>
      </c>
      <c r="I227" s="36"/>
      <c r="J227" s="8"/>
      <c r="K227" s="8"/>
      <c r="L227" s="8"/>
      <c r="M227" s="2"/>
      <c r="N227" s="2"/>
    </row>
    <row r="228" spans="1:14" ht="18" customHeight="1">
      <c r="A228" s="8"/>
      <c r="B228" s="8"/>
      <c r="C228" s="141">
        <v>6</v>
      </c>
      <c r="D228" s="127"/>
      <c r="E228" s="142" t="s">
        <v>238</v>
      </c>
      <c r="F228" s="234"/>
      <c r="G228" s="251">
        <v>15000</v>
      </c>
      <c r="H228" s="272">
        <v>3000</v>
      </c>
      <c r="I228" s="36"/>
      <c r="J228" s="8"/>
      <c r="K228" s="8"/>
      <c r="L228" s="8"/>
      <c r="M228" s="2"/>
      <c r="N228" s="2"/>
    </row>
    <row r="229" spans="1:14" s="285" customFormat="1" ht="18" customHeight="1">
      <c r="A229" s="277"/>
      <c r="B229" s="277"/>
      <c r="C229" s="278">
        <v>8</v>
      </c>
      <c r="D229" s="279"/>
      <c r="E229" s="280" t="s">
        <v>239</v>
      </c>
      <c r="F229" s="281"/>
      <c r="G229" s="256"/>
      <c r="H229" s="282"/>
      <c r="I229" s="283"/>
      <c r="J229" s="277"/>
      <c r="K229" s="277"/>
      <c r="L229" s="277"/>
      <c r="M229" s="284"/>
      <c r="N229" s="284"/>
    </row>
    <row r="230" spans="1:14" s="285" customFormat="1" ht="14.25" customHeight="1" thickBot="1">
      <c r="A230" s="277"/>
      <c r="B230" s="277"/>
      <c r="C230" s="286">
        <v>9</v>
      </c>
      <c r="D230" s="279"/>
      <c r="E230" s="287" t="s">
        <v>240</v>
      </c>
      <c r="F230" s="281"/>
      <c r="G230" s="256"/>
      <c r="H230" s="282"/>
      <c r="I230" s="283"/>
      <c r="J230" s="277"/>
      <c r="K230" s="277"/>
      <c r="L230" s="277"/>
      <c r="M230" s="284"/>
      <c r="N230" s="284"/>
    </row>
    <row r="231" spans="1:14" ht="8.25" customHeight="1">
      <c r="A231" s="7"/>
      <c r="B231" s="7"/>
      <c r="C231" s="165"/>
      <c r="D231" s="7"/>
      <c r="E231" s="166"/>
      <c r="F231" s="223"/>
      <c r="G231" s="252"/>
      <c r="H231" s="260"/>
      <c r="I231" s="170"/>
      <c r="J231" s="7"/>
      <c r="K231" s="7"/>
      <c r="L231" s="7"/>
      <c r="M231" s="1"/>
      <c r="N231" s="1"/>
    </row>
    <row r="232" spans="1:14" ht="15.75" customHeight="1">
      <c r="A232" s="7"/>
      <c r="B232" s="7"/>
      <c r="C232" s="165"/>
      <c r="D232" s="7"/>
      <c r="E232" s="166"/>
      <c r="F232" s="223"/>
      <c r="G232" s="252"/>
      <c r="H232" s="260"/>
      <c r="I232" s="170"/>
      <c r="J232" s="7"/>
      <c r="K232" s="7"/>
      <c r="L232" s="7"/>
      <c r="M232" s="1"/>
      <c r="N232" s="1"/>
    </row>
    <row r="233" spans="1:14" ht="10.5" customHeight="1">
      <c r="A233" s="7"/>
      <c r="B233" s="7"/>
      <c r="C233" s="8"/>
      <c r="D233" s="7"/>
      <c r="E233" s="7"/>
      <c r="F233" s="223"/>
      <c r="G233" s="252"/>
      <c r="H233" s="260"/>
      <c r="I233" s="7"/>
      <c r="J233" s="7"/>
      <c r="K233" s="7"/>
      <c r="L233" s="7"/>
      <c r="M233" s="1"/>
      <c r="N233" s="1"/>
    </row>
    <row r="234" spans="1:14" ht="40.5" customHeight="1">
      <c r="A234" s="7"/>
      <c r="B234" s="7"/>
      <c r="C234" s="8"/>
      <c r="D234" s="7"/>
      <c r="E234" s="7"/>
      <c r="F234" s="223"/>
      <c r="G234" s="252"/>
      <c r="H234" s="260"/>
      <c r="I234" s="7"/>
      <c r="J234" s="7"/>
      <c r="K234" s="7"/>
      <c r="L234" s="7"/>
      <c r="M234" s="1"/>
      <c r="N234" s="1"/>
    </row>
    <row r="235" spans="1:14" ht="10.5" customHeight="1" thickBot="1">
      <c r="A235" s="7"/>
      <c r="B235" s="7"/>
      <c r="C235" s="8"/>
      <c r="D235" s="7"/>
      <c r="E235" s="7"/>
      <c r="F235" s="223"/>
      <c r="G235" s="252"/>
      <c r="H235" s="260"/>
      <c r="I235" s="7"/>
      <c r="J235" s="7"/>
      <c r="K235" s="7"/>
      <c r="L235" s="7"/>
      <c r="M235" s="1"/>
      <c r="N235" s="1"/>
    </row>
    <row r="236" spans="1:14" ht="14.1" customHeight="1">
      <c r="A236" s="122"/>
      <c r="B236" s="122"/>
      <c r="C236" s="428" t="s">
        <v>229</v>
      </c>
      <c r="D236" s="122"/>
      <c r="E236" s="411" t="s">
        <v>230</v>
      </c>
      <c r="F236" s="233"/>
      <c r="G236" s="253"/>
      <c r="H236" s="267"/>
      <c r="I236" s="124"/>
      <c r="J236" s="122"/>
      <c r="K236" s="122"/>
      <c r="L236" s="122"/>
      <c r="M236" s="125"/>
      <c r="N236" s="125"/>
    </row>
    <row r="237" spans="1:14" ht="25.5" customHeight="1" thickBot="1">
      <c r="A237" s="122"/>
      <c r="B237" s="122"/>
      <c r="C237" s="410"/>
      <c r="D237" s="122"/>
      <c r="E237" s="410"/>
      <c r="F237" s="233"/>
      <c r="G237" s="253"/>
      <c r="H237" s="267"/>
      <c r="I237" s="124"/>
      <c r="J237" s="122"/>
      <c r="K237" s="122"/>
      <c r="L237" s="122"/>
      <c r="M237" s="125"/>
      <c r="N237" s="125"/>
    </row>
    <row r="238" spans="1:14" ht="6" customHeight="1" thickBot="1">
      <c r="A238" s="7"/>
      <c r="B238" s="7"/>
      <c r="C238" s="8"/>
      <c r="D238" s="7"/>
      <c r="E238" s="7"/>
      <c r="F238" s="223"/>
      <c r="G238" s="252"/>
      <c r="H238" s="260"/>
      <c r="I238" s="7"/>
      <c r="J238" s="7"/>
      <c r="K238" s="7"/>
      <c r="L238" s="7"/>
      <c r="M238" s="1"/>
      <c r="N238" s="1"/>
    </row>
    <row r="239" spans="1:14" ht="14.25" customHeight="1">
      <c r="A239" s="8"/>
      <c r="B239" s="8"/>
      <c r="C239" s="126">
        <v>1</v>
      </c>
      <c r="D239" s="127"/>
      <c r="E239" s="128" t="s">
        <v>242</v>
      </c>
      <c r="F239" s="234"/>
      <c r="G239" s="251">
        <v>35040</v>
      </c>
      <c r="H239" s="272">
        <f>G239</f>
        <v>35040</v>
      </c>
      <c r="I239" s="36"/>
      <c r="J239" s="8"/>
      <c r="K239" s="8"/>
      <c r="L239" s="8"/>
      <c r="M239" s="2"/>
      <c r="N239" s="2"/>
    </row>
    <row r="240" spans="1:14" ht="18" customHeight="1">
      <c r="A240" s="8"/>
      <c r="B240" s="8"/>
      <c r="C240" s="141">
        <v>3</v>
      </c>
      <c r="D240" s="127"/>
      <c r="E240" s="142" t="s">
        <v>243</v>
      </c>
      <c r="F240" s="234"/>
      <c r="G240" s="251">
        <v>255960</v>
      </c>
      <c r="H240" s="272">
        <f>G240*0.95</f>
        <v>243162</v>
      </c>
      <c r="I240" s="36"/>
      <c r="J240" s="8"/>
      <c r="K240" s="8"/>
      <c r="L240" s="8"/>
      <c r="M240" s="2"/>
      <c r="N240" s="2"/>
    </row>
    <row r="241" spans="1:14" s="285" customFormat="1" ht="18" customHeight="1">
      <c r="A241" s="277"/>
      <c r="B241" s="277"/>
      <c r="C241" s="278">
        <v>4</v>
      </c>
      <c r="D241" s="279"/>
      <c r="E241" s="280" t="s">
        <v>236</v>
      </c>
      <c r="F241" s="281"/>
      <c r="G241" s="256"/>
      <c r="H241" s="282"/>
      <c r="I241" s="283"/>
      <c r="J241" s="277"/>
      <c r="K241" s="277"/>
      <c r="L241" s="277"/>
      <c r="M241" s="284"/>
      <c r="N241" s="284"/>
    </row>
    <row r="242" spans="1:14" s="285" customFormat="1" ht="18" customHeight="1">
      <c r="A242" s="277"/>
      <c r="B242" s="277"/>
      <c r="C242" s="278">
        <v>5</v>
      </c>
      <c r="D242" s="279"/>
      <c r="E242" s="280" t="s">
        <v>244</v>
      </c>
      <c r="F242" s="281"/>
      <c r="G242" s="256"/>
      <c r="H242" s="282"/>
      <c r="I242" s="283"/>
      <c r="J242" s="277"/>
      <c r="K242" s="277"/>
      <c r="L242" s="277"/>
      <c r="M242" s="284"/>
      <c r="N242" s="284"/>
    </row>
    <row r="243" spans="1:14" s="285" customFormat="1" ht="18" customHeight="1">
      <c r="A243" s="277"/>
      <c r="B243" s="277"/>
      <c r="C243" s="278">
        <v>8</v>
      </c>
      <c r="D243" s="279"/>
      <c r="E243" s="280" t="s">
        <v>239</v>
      </c>
      <c r="F243" s="281"/>
      <c r="G243" s="256"/>
      <c r="H243" s="282"/>
      <c r="I243" s="283"/>
      <c r="J243" s="277"/>
      <c r="K243" s="277"/>
      <c r="L243" s="277"/>
      <c r="M243" s="284"/>
      <c r="N243" s="284"/>
    </row>
    <row r="244" spans="1:14" s="285" customFormat="1" ht="18" customHeight="1">
      <c r="A244" s="277"/>
      <c r="B244" s="277"/>
      <c r="C244" s="278">
        <v>9</v>
      </c>
      <c r="D244" s="279"/>
      <c r="E244" s="280" t="s">
        <v>240</v>
      </c>
      <c r="F244" s="281"/>
      <c r="G244" s="256"/>
      <c r="H244" s="282"/>
      <c r="I244" s="283"/>
      <c r="J244" s="277"/>
      <c r="K244" s="277"/>
      <c r="L244" s="277"/>
      <c r="M244" s="284"/>
      <c r="N244" s="284"/>
    </row>
    <row r="245" spans="1:14" ht="14.25" customHeight="1" thickBot="1">
      <c r="A245" s="8"/>
      <c r="B245" s="8"/>
      <c r="C245" s="153"/>
      <c r="D245" s="127"/>
      <c r="E245" s="154"/>
      <c r="F245" s="234"/>
      <c r="G245" s="288"/>
      <c r="H245" s="289"/>
      <c r="I245" s="36"/>
      <c r="J245" s="8"/>
      <c r="K245" s="8"/>
      <c r="L245" s="8"/>
      <c r="M245" s="2"/>
      <c r="N245" s="2"/>
    </row>
    <row r="246" spans="1:14" ht="8.25" customHeight="1">
      <c r="A246" s="7"/>
      <c r="B246" s="7"/>
      <c r="C246" s="165"/>
      <c r="D246" s="7"/>
      <c r="E246" s="166"/>
      <c r="F246" s="223"/>
      <c r="G246" s="238"/>
      <c r="H246" s="260"/>
      <c r="I246" s="170"/>
      <c r="J246" s="7"/>
      <c r="K246" s="7"/>
      <c r="L246" s="7"/>
      <c r="M246" s="1"/>
      <c r="N246" s="1"/>
    </row>
    <row r="247" spans="1:14" ht="15.75" customHeight="1">
      <c r="A247" s="7"/>
      <c r="B247" s="7"/>
      <c r="C247" s="165"/>
      <c r="D247" s="7"/>
      <c r="E247" s="166"/>
      <c r="F247" s="223"/>
      <c r="G247" s="238"/>
      <c r="H247" s="260"/>
      <c r="I247" s="170"/>
      <c r="J247" s="7"/>
      <c r="K247" s="7"/>
      <c r="L247" s="7"/>
      <c r="M247" s="1"/>
      <c r="N247" s="1"/>
    </row>
    <row r="248" spans="1:14" ht="10.5" customHeight="1">
      <c r="A248" s="7"/>
      <c r="B248" s="7"/>
      <c r="C248" s="8"/>
      <c r="D248" s="7"/>
      <c r="E248" s="7"/>
      <c r="F248" s="223"/>
      <c r="G248" s="238"/>
      <c r="H248" s="260"/>
      <c r="I248" s="7"/>
      <c r="J248" s="7"/>
      <c r="K248" s="7"/>
      <c r="L248" s="7"/>
      <c r="M248" s="1"/>
      <c r="N248" s="1"/>
    </row>
    <row r="249" spans="1:14" ht="15.75" customHeight="1">
      <c r="A249" s="7"/>
      <c r="B249" s="7"/>
      <c r="C249" s="165"/>
      <c r="D249" s="7"/>
      <c r="E249" s="166"/>
      <c r="F249" s="223"/>
      <c r="G249" s="238"/>
      <c r="H249" s="260"/>
      <c r="I249" s="170"/>
      <c r="J249" s="7"/>
      <c r="K249" s="7"/>
      <c r="L249" s="7"/>
      <c r="M249" s="1"/>
      <c r="N249" s="1"/>
    </row>
    <row r="250" spans="1:14" ht="15.75" customHeight="1">
      <c r="A250" s="7"/>
      <c r="B250" s="7"/>
      <c r="C250" s="165"/>
      <c r="D250" s="7"/>
      <c r="E250" s="166"/>
      <c r="F250" s="223"/>
      <c r="G250" s="238"/>
      <c r="H250" s="260"/>
      <c r="I250" s="170"/>
      <c r="J250" s="7"/>
      <c r="K250" s="7"/>
      <c r="L250" s="7"/>
      <c r="M250" s="1"/>
      <c r="N250" s="1"/>
    </row>
    <row r="251" spans="1:14" ht="8.25" customHeight="1" thickBot="1">
      <c r="A251" s="7"/>
      <c r="B251" s="7"/>
      <c r="C251" s="165"/>
      <c r="D251" s="7"/>
      <c r="E251" s="166"/>
      <c r="F251" s="223"/>
      <c r="G251" s="238"/>
      <c r="H251" s="260"/>
      <c r="I251" s="167"/>
      <c r="J251" s="9"/>
      <c r="K251" s="7"/>
      <c r="L251" s="7"/>
      <c r="M251" s="1"/>
      <c r="N251" s="1"/>
    </row>
    <row r="252" spans="1:14" ht="14.1" customHeight="1">
      <c r="A252" s="182"/>
      <c r="B252" s="182"/>
      <c r="C252" s="124"/>
      <c r="D252" s="183"/>
      <c r="E252" s="436" t="s">
        <v>180</v>
      </c>
      <c r="F252" s="235"/>
      <c r="G252" s="254"/>
      <c r="H252" s="268"/>
      <c r="I252" s="186"/>
      <c r="J252" s="187"/>
      <c r="K252" s="184"/>
      <c r="L252" s="187"/>
      <c r="M252" s="188"/>
      <c r="N252" s="188"/>
    </row>
    <row r="253" spans="1:14" ht="24.75" customHeight="1" thickBot="1">
      <c r="A253" s="182"/>
      <c r="B253" s="182"/>
      <c r="C253" s="124"/>
      <c r="D253" s="183"/>
      <c r="E253" s="410"/>
      <c r="F253" s="235"/>
      <c r="G253" s="254"/>
      <c r="H253" s="268"/>
      <c r="I253" s="182"/>
      <c r="J253" s="187"/>
      <c r="K253" s="184"/>
      <c r="L253" s="184"/>
      <c r="M253" s="188"/>
      <c r="N253" s="188"/>
    </row>
    <row r="254" spans="1:14" ht="6" customHeight="1" thickBot="1">
      <c r="A254" s="7"/>
      <c r="B254" s="7"/>
      <c r="C254" s="8"/>
      <c r="D254" s="7"/>
      <c r="E254" s="7"/>
      <c r="F254" s="223"/>
      <c r="G254" s="238"/>
      <c r="H254" s="260"/>
      <c r="I254" s="7"/>
      <c r="J254" s="7"/>
      <c r="K254" s="7"/>
      <c r="L254" s="7"/>
      <c r="M254" s="1"/>
      <c r="N254" s="1"/>
    </row>
    <row r="255" spans="1:14" ht="18" customHeight="1">
      <c r="A255" s="8"/>
      <c r="B255" s="8"/>
      <c r="C255" s="36"/>
      <c r="D255" s="127"/>
      <c r="E255" s="128" t="s">
        <v>246</v>
      </c>
      <c r="F255" s="234"/>
      <c r="G255" s="273">
        <f>SUM(G224:G230)</f>
        <v>291000</v>
      </c>
      <c r="H255" s="272"/>
      <c r="I255" s="147"/>
      <c r="J255" s="8"/>
      <c r="K255" s="8"/>
      <c r="L255" s="8"/>
      <c r="M255" s="2"/>
      <c r="N255" s="2"/>
    </row>
    <row r="256" spans="1:14" ht="18" customHeight="1" thickBot="1">
      <c r="A256" s="8"/>
      <c r="B256" s="8"/>
      <c r="C256" s="36"/>
      <c r="D256" s="127"/>
      <c r="E256" s="154" t="s">
        <v>247</v>
      </c>
      <c r="F256" s="234"/>
      <c r="G256" s="273">
        <f>G239+G240</f>
        <v>291000</v>
      </c>
      <c r="H256" s="272">
        <f>H239+H240</f>
        <v>278202</v>
      </c>
      <c r="I256" s="36"/>
      <c r="J256" s="8"/>
      <c r="K256" s="8"/>
      <c r="L256" s="8"/>
      <c r="M256" s="2"/>
      <c r="N256" s="2"/>
    </row>
    <row r="257" spans="1:14" ht="8.25" customHeight="1" thickBot="1">
      <c r="A257" s="7"/>
      <c r="B257" s="7"/>
      <c r="C257" s="165"/>
      <c r="D257" s="7"/>
      <c r="E257" s="166"/>
      <c r="F257" s="223"/>
      <c r="G257" s="274"/>
      <c r="H257" s="271"/>
      <c r="I257" s="170"/>
      <c r="J257" s="7"/>
      <c r="K257" s="7"/>
      <c r="L257" s="7"/>
      <c r="M257" s="1"/>
      <c r="N257" s="1"/>
    </row>
    <row r="258" spans="1:14" ht="19.5" customHeight="1" thickBot="1">
      <c r="A258" s="8"/>
      <c r="B258" s="8"/>
      <c r="C258" s="36"/>
      <c r="D258" s="127"/>
      <c r="E258" s="189" t="s">
        <v>180</v>
      </c>
      <c r="F258" s="234"/>
      <c r="G258" s="273"/>
      <c r="H258" s="272"/>
      <c r="I258" s="36"/>
      <c r="J258" s="8"/>
      <c r="K258" s="8"/>
      <c r="L258" s="8"/>
      <c r="M258" s="2"/>
      <c r="N258" s="2"/>
    </row>
    <row r="259" spans="1:14" ht="10.5" customHeight="1">
      <c r="A259" s="7"/>
      <c r="B259" s="7"/>
      <c r="C259" s="8"/>
      <c r="D259" s="7"/>
      <c r="E259" s="7"/>
      <c r="F259" s="223"/>
      <c r="G259" s="238"/>
      <c r="H259" s="260"/>
      <c r="I259" s="7"/>
      <c r="J259" s="7"/>
      <c r="K259" s="7"/>
      <c r="L259" s="7"/>
      <c r="M259" s="1"/>
      <c r="N259" s="1"/>
    </row>
    <row r="260" spans="1:14">
      <c r="A260" s="197"/>
      <c r="B260" s="197"/>
      <c r="C260" s="198"/>
      <c r="D260" s="87"/>
      <c r="E260" s="166"/>
      <c r="F260" s="231"/>
      <c r="G260" s="238"/>
      <c r="H260" s="269"/>
      <c r="I260" s="197"/>
      <c r="J260" s="7"/>
      <c r="K260" s="7"/>
      <c r="L260" s="7"/>
      <c r="M260" s="1"/>
      <c r="N260" s="1"/>
    </row>
    <row r="261" spans="1:14" ht="12.75" customHeight="1">
      <c r="A261" s="7"/>
      <c r="B261" s="7"/>
      <c r="C261" s="413"/>
      <c r="D261" s="7"/>
      <c r="E261" s="413"/>
      <c r="F261" s="223"/>
      <c r="G261" s="238"/>
      <c r="H261" s="260"/>
      <c r="I261" s="413"/>
      <c r="J261" s="7"/>
      <c r="K261" s="7"/>
      <c r="L261" s="7"/>
      <c r="M261" s="1"/>
      <c r="N261" s="1"/>
    </row>
    <row r="262" spans="1:14" ht="12.75" customHeight="1">
      <c r="A262" s="7"/>
      <c r="B262" s="7"/>
      <c r="C262" s="408"/>
      <c r="D262" s="7"/>
      <c r="E262" s="408"/>
      <c r="F262" s="223"/>
      <c r="G262" s="238"/>
      <c r="H262" s="260"/>
      <c r="I262" s="408"/>
      <c r="J262" s="7"/>
      <c r="K262" s="7"/>
      <c r="L262" s="7"/>
      <c r="M262" s="1"/>
      <c r="N262" s="1"/>
    </row>
    <row r="263" spans="1:14" ht="12.75" customHeight="1">
      <c r="A263" s="7"/>
      <c r="B263" s="7"/>
      <c r="C263" s="8"/>
      <c r="D263" s="7"/>
      <c r="E263" s="7"/>
      <c r="F263" s="223"/>
      <c r="G263" s="238"/>
      <c r="H263" s="260"/>
      <c r="I263" s="7"/>
      <c r="J263" s="7"/>
      <c r="K263" s="7"/>
      <c r="L263" s="7"/>
      <c r="M263" s="1"/>
      <c r="N263" s="1"/>
    </row>
    <row r="264" spans="1:14">
      <c r="A264" s="7"/>
      <c r="B264" s="7"/>
      <c r="C264" s="201"/>
      <c r="D264" s="7"/>
      <c r="E264" s="202"/>
      <c r="F264" s="223"/>
      <c r="G264" s="238"/>
      <c r="H264" s="260"/>
      <c r="I264" s="205"/>
      <c r="J264" s="7"/>
      <c r="K264" s="7"/>
      <c r="L264" s="7"/>
      <c r="M264" s="1"/>
      <c r="N264" s="1"/>
    </row>
    <row r="265" spans="1:14" ht="6" customHeight="1">
      <c r="A265" s="7"/>
      <c r="B265" s="7"/>
      <c r="C265" s="8"/>
      <c r="D265" s="7"/>
      <c r="E265" s="7"/>
      <c r="F265" s="223"/>
      <c r="G265" s="238"/>
      <c r="H265" s="260"/>
      <c r="I265" s="7"/>
      <c r="J265" s="7"/>
      <c r="K265" s="7"/>
      <c r="L265" s="7"/>
      <c r="M265" s="1"/>
      <c r="N265" s="1"/>
    </row>
    <row r="266" spans="1:14" ht="12.75" customHeight="1">
      <c r="A266" s="7"/>
      <c r="B266" s="7"/>
      <c r="C266" s="36"/>
      <c r="D266" s="7"/>
      <c r="E266" s="14"/>
      <c r="F266" s="223"/>
      <c r="G266" s="238"/>
      <c r="H266" s="260"/>
      <c r="I266" s="11"/>
      <c r="J266" s="7"/>
      <c r="K266" s="7"/>
      <c r="L266" s="7"/>
      <c r="M266" s="1"/>
      <c r="N266" s="1"/>
    </row>
    <row r="267" spans="1:14" ht="12.75" customHeight="1">
      <c r="A267" s="7"/>
      <c r="B267" s="7"/>
      <c r="C267" s="22"/>
      <c r="D267" s="7"/>
      <c r="E267" s="97"/>
      <c r="F267" s="223"/>
      <c r="G267" s="238"/>
      <c r="H267" s="260"/>
      <c r="I267" s="49"/>
      <c r="J267" s="7"/>
      <c r="K267" s="7"/>
      <c r="L267" s="7"/>
      <c r="M267" s="1"/>
      <c r="N267" s="1"/>
    </row>
    <row r="268" spans="1:14" ht="12.75" customHeight="1">
      <c r="A268" s="7"/>
      <c r="B268" s="7"/>
      <c r="C268" s="8"/>
      <c r="D268" s="7"/>
      <c r="E268" s="7"/>
      <c r="F268" s="223"/>
      <c r="G268" s="238"/>
      <c r="H268" s="260"/>
      <c r="I268" s="7"/>
      <c r="J268" s="7"/>
      <c r="K268" s="7"/>
      <c r="L268" s="7"/>
      <c r="M268" s="1"/>
      <c r="N268" s="1"/>
    </row>
    <row r="269" spans="1:14">
      <c r="A269" s="7"/>
      <c r="B269" s="7"/>
      <c r="C269" s="198"/>
      <c r="D269" s="7"/>
      <c r="E269" s="166"/>
      <c r="F269" s="223"/>
      <c r="G269" s="238"/>
      <c r="H269" s="260"/>
      <c r="I269" s="197"/>
      <c r="J269" s="7"/>
      <c r="K269" s="7"/>
      <c r="L269" s="7"/>
      <c r="M269" s="1"/>
      <c r="N269" s="1"/>
    </row>
    <row r="270" spans="1:14">
      <c r="A270" s="7"/>
      <c r="B270" s="7"/>
      <c r="C270" s="198"/>
      <c r="D270" s="7"/>
      <c r="E270" s="166"/>
      <c r="F270" s="223"/>
      <c r="G270" s="238"/>
      <c r="H270" s="260"/>
      <c r="I270" s="197"/>
      <c r="J270" s="7"/>
      <c r="K270" s="7"/>
      <c r="L270" s="7"/>
      <c r="M270" s="1"/>
      <c r="N270" s="1"/>
    </row>
    <row r="271" spans="1:14" ht="12.75" customHeight="1">
      <c r="A271" s="7"/>
      <c r="B271" s="7"/>
      <c r="C271" s="8"/>
      <c r="D271" s="7"/>
      <c r="E271" s="7"/>
      <c r="F271" s="223"/>
      <c r="G271" s="238"/>
      <c r="I271" s="7"/>
      <c r="J271" s="7"/>
      <c r="K271" s="7"/>
      <c r="L271" s="7"/>
      <c r="M271" s="1"/>
      <c r="N271" s="1"/>
    </row>
    <row r="272" spans="1:14" ht="12.75" customHeight="1">
      <c r="A272" s="7"/>
      <c r="B272" s="7"/>
      <c r="C272" s="8"/>
      <c r="D272" s="7"/>
      <c r="E272" s="7"/>
      <c r="F272" s="223"/>
      <c r="G272" s="238"/>
      <c r="H272" s="260"/>
      <c r="I272" s="7"/>
      <c r="J272" s="7"/>
      <c r="K272" s="7"/>
      <c r="L272" s="7"/>
      <c r="M272" s="1"/>
      <c r="N272" s="1"/>
    </row>
    <row r="273" spans="1:14" ht="12.75" customHeight="1">
      <c r="A273" s="7"/>
      <c r="B273" s="7"/>
      <c r="C273" s="8"/>
      <c r="D273" s="7"/>
      <c r="E273" s="7"/>
      <c r="F273" s="223"/>
      <c r="G273" s="238"/>
      <c r="H273" s="260"/>
      <c r="I273" s="7"/>
      <c r="J273" s="7"/>
      <c r="K273" s="7"/>
      <c r="L273" s="7"/>
      <c r="M273" s="1"/>
      <c r="N273" s="1"/>
    </row>
    <row r="274" spans="1:14" ht="12.75" customHeight="1">
      <c r="A274" s="7"/>
      <c r="B274" s="7"/>
      <c r="C274" s="8"/>
      <c r="D274" s="7"/>
      <c r="E274" s="7"/>
      <c r="F274" s="223"/>
      <c r="G274" s="238"/>
      <c r="H274" s="260"/>
      <c r="I274" s="7"/>
      <c r="J274" s="7"/>
      <c r="K274" s="7"/>
      <c r="L274" s="7"/>
      <c r="M274" s="1"/>
      <c r="N274" s="1"/>
    </row>
    <row r="275" spans="1:14" ht="12.75" customHeight="1">
      <c r="A275" s="7"/>
      <c r="B275" s="7"/>
      <c r="C275" s="8"/>
      <c r="D275" s="7"/>
      <c r="E275" s="7"/>
      <c r="F275" s="223"/>
      <c r="G275" s="238"/>
      <c r="H275" s="260"/>
      <c r="I275" s="7"/>
      <c r="J275" s="7"/>
      <c r="K275" s="7"/>
      <c r="L275" s="7"/>
      <c r="M275" s="1"/>
      <c r="N275" s="1"/>
    </row>
    <row r="276" spans="1:14" ht="12.75" customHeight="1">
      <c r="A276" s="7"/>
      <c r="B276" s="7"/>
      <c r="C276" s="8"/>
      <c r="D276" s="7"/>
      <c r="E276" s="7"/>
      <c r="F276" s="223"/>
      <c r="G276" s="238"/>
      <c r="H276" s="260"/>
      <c r="I276" s="7"/>
      <c r="J276" s="7"/>
      <c r="K276" s="7"/>
      <c r="L276" s="7"/>
      <c r="M276" s="1"/>
      <c r="N276" s="1"/>
    </row>
    <row r="277" spans="1:14" ht="12.75" customHeight="1">
      <c r="A277" s="7"/>
      <c r="B277" s="7"/>
      <c r="C277" s="8"/>
      <c r="D277" s="7"/>
      <c r="E277" s="7"/>
      <c r="F277" s="223"/>
      <c r="G277" s="238"/>
      <c r="H277" s="260"/>
      <c r="I277" s="7"/>
      <c r="J277" s="7"/>
      <c r="K277" s="7"/>
      <c r="L277" s="7"/>
      <c r="M277" s="1"/>
      <c r="N277" s="1"/>
    </row>
    <row r="278" spans="1:14" ht="12.75" customHeight="1">
      <c r="A278" s="7"/>
      <c r="B278" s="7"/>
      <c r="C278" s="8"/>
      <c r="D278" s="7"/>
      <c r="E278" s="7"/>
      <c r="F278" s="223"/>
      <c r="G278" s="238"/>
      <c r="H278" s="260"/>
      <c r="I278" s="7"/>
      <c r="J278" s="7"/>
      <c r="K278" s="7"/>
      <c r="L278" s="7"/>
      <c r="M278" s="1"/>
      <c r="N278" s="1"/>
    </row>
    <row r="279" spans="1:14" ht="12.75" customHeight="1">
      <c r="A279" s="7"/>
      <c r="B279" s="7"/>
      <c r="C279" s="8"/>
      <c r="D279" s="7"/>
      <c r="E279" s="7"/>
      <c r="F279" s="223"/>
      <c r="G279" s="238"/>
      <c r="H279" s="260"/>
      <c r="I279" s="7"/>
      <c r="J279" s="7"/>
      <c r="K279" s="7"/>
      <c r="L279" s="7"/>
      <c r="M279" s="1"/>
      <c r="N279" s="1"/>
    </row>
    <row r="280" spans="1:14" ht="12.75" customHeight="1">
      <c r="A280" s="7"/>
      <c r="B280" s="7"/>
      <c r="C280" s="8"/>
      <c r="D280" s="7"/>
      <c r="E280" s="7"/>
      <c r="F280" s="223"/>
      <c r="G280" s="238"/>
      <c r="H280" s="260"/>
      <c r="I280" s="7"/>
      <c r="J280" s="7"/>
      <c r="K280" s="7"/>
      <c r="L280" s="7"/>
      <c r="M280" s="1"/>
      <c r="N280" s="1"/>
    </row>
    <row r="281" spans="1:14" ht="12.75" customHeight="1">
      <c r="A281" s="7"/>
      <c r="B281" s="7"/>
      <c r="C281" s="8"/>
      <c r="D281" s="7"/>
      <c r="E281" s="7"/>
      <c r="F281" s="223"/>
      <c r="G281" s="238"/>
      <c r="H281" s="260"/>
      <c r="I281" s="7"/>
      <c r="J281" s="7"/>
      <c r="K281" s="7"/>
      <c r="L281" s="7"/>
      <c r="M281" s="1"/>
      <c r="N281" s="1"/>
    </row>
    <row r="282" spans="1:14" ht="12.75" customHeight="1">
      <c r="A282" s="7"/>
      <c r="B282" s="7"/>
      <c r="C282" s="8"/>
      <c r="D282" s="7"/>
      <c r="E282" s="7"/>
      <c r="F282" s="223"/>
      <c r="G282" s="238"/>
      <c r="H282" s="260"/>
      <c r="I282" s="7"/>
      <c r="J282" s="7"/>
      <c r="K282" s="7"/>
      <c r="L282" s="7"/>
      <c r="M282" s="1"/>
      <c r="N282" s="1"/>
    </row>
    <row r="283" spans="1:14" ht="12.75" customHeight="1">
      <c r="A283" s="7"/>
      <c r="B283" s="7"/>
      <c r="C283" s="8"/>
      <c r="D283" s="7"/>
      <c r="E283" s="7"/>
      <c r="F283" s="223"/>
      <c r="G283" s="238"/>
      <c r="H283" s="260"/>
      <c r="I283" s="7"/>
      <c r="J283" s="7"/>
      <c r="K283" s="7"/>
      <c r="L283" s="7"/>
      <c r="M283" s="1"/>
      <c r="N283" s="1"/>
    </row>
    <row r="284" spans="1:14" ht="12.75" customHeight="1">
      <c r="A284" s="7"/>
      <c r="B284" s="7"/>
      <c r="C284" s="8"/>
      <c r="D284" s="7"/>
      <c r="E284" s="7"/>
      <c r="F284" s="223"/>
      <c r="G284" s="238"/>
      <c r="H284" s="260"/>
      <c r="I284" s="7"/>
      <c r="J284" s="7"/>
      <c r="K284" s="7"/>
      <c r="L284" s="7"/>
      <c r="M284" s="1"/>
      <c r="N284" s="1"/>
    </row>
    <row r="285" spans="1:14" ht="12.75" customHeight="1">
      <c r="A285" s="7"/>
      <c r="B285" s="7"/>
      <c r="C285" s="8"/>
      <c r="D285" s="7"/>
      <c r="E285" s="7"/>
      <c r="F285" s="223"/>
      <c r="G285" s="238"/>
      <c r="H285" s="260"/>
      <c r="I285" s="7"/>
      <c r="J285" s="7"/>
      <c r="K285" s="7"/>
      <c r="L285" s="7"/>
      <c r="M285" s="1"/>
      <c r="N285" s="1"/>
    </row>
    <row r="286" spans="1:14" ht="12.75" customHeight="1">
      <c r="A286" s="7"/>
      <c r="B286" s="7"/>
      <c r="C286" s="8"/>
      <c r="D286" s="7"/>
      <c r="E286" s="7"/>
      <c r="F286" s="223"/>
      <c r="G286" s="238"/>
      <c r="H286" s="260"/>
      <c r="I286" s="7"/>
      <c r="J286" s="7"/>
      <c r="K286" s="7"/>
      <c r="L286" s="7"/>
      <c r="M286" s="1"/>
      <c r="N286" s="1"/>
    </row>
    <row r="287" spans="1:14" ht="12.75" customHeight="1">
      <c r="A287" s="7"/>
      <c r="B287" s="7"/>
      <c r="C287" s="8"/>
      <c r="D287" s="7"/>
      <c r="E287" s="7"/>
      <c r="F287" s="223"/>
      <c r="G287" s="238"/>
      <c r="H287" s="260"/>
      <c r="I287" s="7"/>
      <c r="J287" s="7"/>
      <c r="K287" s="7"/>
      <c r="L287" s="7"/>
      <c r="M287" s="1"/>
      <c r="N287" s="1"/>
    </row>
    <row r="288" spans="1:14" ht="12.75" customHeight="1">
      <c r="A288" s="7"/>
      <c r="B288" s="7"/>
      <c r="C288" s="8"/>
      <c r="D288" s="7"/>
      <c r="E288" s="7"/>
      <c r="F288" s="223"/>
      <c r="G288" s="238"/>
      <c r="H288" s="260"/>
      <c r="I288" s="7"/>
      <c r="J288" s="7"/>
      <c r="K288" s="7"/>
      <c r="L288" s="7"/>
      <c r="M288" s="1"/>
      <c r="N288" s="1"/>
    </row>
    <row r="289" spans="1:14" ht="12.75" customHeight="1">
      <c r="A289" s="7"/>
      <c r="B289" s="7"/>
      <c r="C289" s="8"/>
      <c r="D289" s="7"/>
      <c r="E289" s="7"/>
      <c r="F289" s="223"/>
      <c r="G289" s="238"/>
      <c r="H289" s="260"/>
      <c r="I289" s="7"/>
      <c r="J289" s="7"/>
      <c r="K289" s="7"/>
      <c r="L289" s="7"/>
      <c r="M289" s="1"/>
      <c r="N289" s="1"/>
    </row>
    <row r="290" spans="1:14" ht="12.75" customHeight="1">
      <c r="A290" s="7"/>
      <c r="B290" s="7"/>
      <c r="C290" s="8"/>
      <c r="D290" s="7"/>
      <c r="E290" s="7"/>
      <c r="F290" s="223"/>
      <c r="G290" s="238"/>
      <c r="H290" s="260"/>
      <c r="I290" s="7"/>
      <c r="J290" s="7"/>
      <c r="K290" s="7"/>
      <c r="L290" s="7"/>
      <c r="M290" s="1"/>
      <c r="N290" s="1"/>
    </row>
    <row r="291" spans="1:14" ht="12.75" customHeight="1">
      <c r="A291" s="7"/>
      <c r="B291" s="7"/>
      <c r="C291" s="8"/>
      <c r="D291" s="7"/>
      <c r="E291" s="7"/>
      <c r="F291" s="223"/>
      <c r="G291" s="238"/>
      <c r="H291" s="260"/>
      <c r="I291" s="7"/>
      <c r="J291" s="7"/>
      <c r="K291" s="7"/>
      <c r="L291" s="7"/>
      <c r="M291" s="1"/>
      <c r="N291" s="1"/>
    </row>
    <row r="292" spans="1:14" ht="12.75" customHeight="1">
      <c r="A292" s="7"/>
      <c r="B292" s="7"/>
      <c r="C292" s="8"/>
      <c r="D292" s="7"/>
      <c r="E292" s="7"/>
      <c r="F292" s="223"/>
      <c r="G292" s="238"/>
      <c r="H292" s="260"/>
      <c r="I292" s="7"/>
      <c r="J292" s="7"/>
      <c r="K292" s="7"/>
      <c r="L292" s="7"/>
      <c r="M292" s="1"/>
      <c r="N292" s="1"/>
    </row>
    <row r="293" spans="1:14" ht="12.75" customHeight="1">
      <c r="A293" s="7"/>
      <c r="B293" s="7"/>
      <c r="C293" s="8"/>
      <c r="D293" s="7"/>
      <c r="E293" s="7"/>
      <c r="F293" s="223"/>
      <c r="G293" s="238"/>
      <c r="H293" s="260"/>
      <c r="I293" s="7"/>
      <c r="J293" s="7"/>
      <c r="K293" s="7"/>
      <c r="L293" s="7"/>
      <c r="M293" s="1"/>
      <c r="N293" s="1"/>
    </row>
    <row r="294" spans="1:14" ht="12.75" customHeight="1">
      <c r="A294" s="7"/>
      <c r="B294" s="7"/>
      <c r="C294" s="8"/>
      <c r="D294" s="7"/>
      <c r="E294" s="7"/>
      <c r="F294" s="223"/>
      <c r="G294" s="238"/>
      <c r="H294" s="260"/>
      <c r="I294" s="7"/>
      <c r="J294" s="7"/>
      <c r="K294" s="7"/>
      <c r="L294" s="7"/>
      <c r="M294" s="1"/>
      <c r="N294" s="1"/>
    </row>
    <row r="295" spans="1:14" ht="12.75" customHeight="1">
      <c r="A295" s="7"/>
      <c r="B295" s="7"/>
      <c r="C295" s="8"/>
      <c r="D295" s="7"/>
      <c r="E295" s="7"/>
      <c r="F295" s="223"/>
      <c r="G295" s="238"/>
      <c r="H295" s="260"/>
      <c r="I295" s="7"/>
      <c r="J295" s="7"/>
      <c r="K295" s="7"/>
      <c r="L295" s="7"/>
      <c r="M295" s="1"/>
      <c r="N295" s="1"/>
    </row>
    <row r="296" spans="1:14" ht="12.75" customHeight="1">
      <c r="A296" s="7"/>
      <c r="B296" s="7"/>
      <c r="C296" s="8"/>
      <c r="D296" s="7"/>
      <c r="E296" s="7"/>
      <c r="F296" s="223"/>
      <c r="G296" s="238"/>
      <c r="H296" s="260"/>
      <c r="I296" s="7"/>
      <c r="J296" s="7"/>
      <c r="K296" s="7"/>
      <c r="L296" s="7"/>
      <c r="M296" s="1"/>
      <c r="N296" s="1"/>
    </row>
    <row r="297" spans="1:14" ht="12.75" customHeight="1">
      <c r="A297" s="7"/>
      <c r="B297" s="7"/>
      <c r="C297" s="8"/>
      <c r="D297" s="7"/>
      <c r="E297" s="7"/>
      <c r="F297" s="223"/>
      <c r="G297" s="238"/>
      <c r="H297" s="260"/>
      <c r="I297" s="7"/>
      <c r="J297" s="7"/>
      <c r="K297" s="7"/>
      <c r="L297" s="7"/>
      <c r="M297" s="1"/>
      <c r="N297" s="1"/>
    </row>
    <row r="298" spans="1:14" ht="12.75" customHeight="1">
      <c r="A298" s="7"/>
      <c r="B298" s="7"/>
      <c r="C298" s="8"/>
      <c r="D298" s="7"/>
      <c r="E298" s="7"/>
      <c r="F298" s="223"/>
      <c r="G298" s="238"/>
      <c r="H298" s="260"/>
      <c r="I298" s="7"/>
      <c r="J298" s="7"/>
      <c r="K298" s="7"/>
      <c r="L298" s="7"/>
      <c r="M298" s="1"/>
      <c r="N298" s="1"/>
    </row>
    <row r="299" spans="1:14" ht="12.75" customHeight="1">
      <c r="A299" s="7"/>
      <c r="B299" s="7"/>
      <c r="C299" s="8"/>
      <c r="D299" s="7"/>
      <c r="E299" s="7"/>
      <c r="F299" s="223"/>
      <c r="G299" s="238"/>
      <c r="H299" s="260"/>
      <c r="I299" s="7"/>
      <c r="J299" s="7"/>
      <c r="K299" s="7"/>
      <c r="L299" s="7"/>
      <c r="M299" s="1"/>
      <c r="N299" s="1"/>
    </row>
    <row r="300" spans="1:14" ht="12.75" customHeight="1">
      <c r="A300" s="7"/>
      <c r="B300" s="7"/>
      <c r="C300" s="8"/>
      <c r="D300" s="7"/>
      <c r="E300" s="7"/>
      <c r="F300" s="223"/>
      <c r="G300" s="238"/>
      <c r="H300" s="260"/>
      <c r="I300" s="7"/>
      <c r="J300" s="7"/>
      <c r="K300" s="7"/>
      <c r="L300" s="7"/>
      <c r="M300" s="1"/>
      <c r="N300" s="1"/>
    </row>
    <row r="301" spans="1:14" ht="12.75" customHeight="1">
      <c r="A301" s="7"/>
      <c r="B301" s="7"/>
      <c r="C301" s="8"/>
      <c r="D301" s="7"/>
      <c r="E301" s="7"/>
      <c r="F301" s="223"/>
      <c r="G301" s="238"/>
      <c r="H301" s="260"/>
      <c r="I301" s="7"/>
      <c r="J301" s="7"/>
      <c r="K301" s="7"/>
      <c r="L301" s="7"/>
      <c r="M301" s="1"/>
      <c r="N301" s="1"/>
    </row>
    <row r="302" spans="1:14" ht="12.75" customHeight="1">
      <c r="A302" s="7"/>
      <c r="B302" s="7"/>
      <c r="C302" s="8"/>
      <c r="D302" s="7"/>
      <c r="E302" s="7"/>
      <c r="F302" s="223"/>
      <c r="G302" s="238"/>
      <c r="H302" s="260"/>
      <c r="I302" s="7"/>
      <c r="J302" s="7"/>
      <c r="K302" s="7"/>
      <c r="L302" s="7"/>
      <c r="M302" s="1"/>
      <c r="N302" s="1"/>
    </row>
    <row r="303" spans="1:14" ht="12.75" customHeight="1">
      <c r="A303" s="7"/>
      <c r="B303" s="7"/>
      <c r="C303" s="8"/>
      <c r="D303" s="7"/>
      <c r="E303" s="7"/>
      <c r="F303" s="223"/>
      <c r="G303" s="238"/>
      <c r="H303" s="260"/>
      <c r="I303" s="7"/>
      <c r="J303" s="7"/>
      <c r="K303" s="7"/>
      <c r="L303" s="7"/>
      <c r="M303" s="1"/>
      <c r="N303" s="1"/>
    </row>
    <row r="304" spans="1:14" ht="12.75" customHeight="1">
      <c r="A304" s="7"/>
      <c r="B304" s="7"/>
      <c r="C304" s="8"/>
      <c r="D304" s="7"/>
      <c r="E304" s="7"/>
      <c r="F304" s="223"/>
      <c r="G304" s="238"/>
      <c r="H304" s="260"/>
      <c r="I304" s="7"/>
      <c r="J304" s="7"/>
      <c r="K304" s="7"/>
      <c r="L304" s="7"/>
      <c r="M304" s="1"/>
      <c r="N304" s="1"/>
    </row>
    <row r="305" spans="1:14" ht="12.75" customHeight="1">
      <c r="A305" s="7"/>
      <c r="B305" s="7"/>
      <c r="C305" s="8"/>
      <c r="D305" s="7"/>
      <c r="E305" s="7"/>
      <c r="F305" s="223"/>
      <c r="G305" s="238"/>
      <c r="H305" s="260"/>
      <c r="I305" s="7"/>
      <c r="J305" s="7"/>
      <c r="K305" s="7"/>
      <c r="L305" s="7"/>
      <c r="M305" s="1"/>
      <c r="N305" s="1"/>
    </row>
    <row r="306" spans="1:14" ht="12.75" customHeight="1">
      <c r="A306" s="7"/>
      <c r="B306" s="7"/>
      <c r="C306" s="8"/>
      <c r="D306" s="7"/>
      <c r="E306" s="7"/>
      <c r="F306" s="223"/>
      <c r="G306" s="238"/>
      <c r="H306" s="260"/>
      <c r="I306" s="7"/>
      <c r="J306" s="7"/>
      <c r="K306" s="7"/>
      <c r="L306" s="7"/>
      <c r="M306" s="1"/>
      <c r="N306" s="1"/>
    </row>
    <row r="307" spans="1:14" ht="12.75" customHeight="1">
      <c r="A307" s="7"/>
      <c r="B307" s="7"/>
      <c r="C307" s="8"/>
      <c r="D307" s="7"/>
      <c r="E307" s="7"/>
      <c r="F307" s="223"/>
      <c r="G307" s="238"/>
      <c r="H307" s="260"/>
      <c r="I307" s="7"/>
      <c r="J307" s="7"/>
      <c r="K307" s="7"/>
      <c r="L307" s="7"/>
      <c r="M307" s="1"/>
      <c r="N307" s="1"/>
    </row>
    <row r="308" spans="1:14" ht="12.75" customHeight="1">
      <c r="A308" s="7"/>
      <c r="B308" s="7"/>
      <c r="C308" s="8"/>
      <c r="D308" s="7"/>
      <c r="E308" s="7"/>
      <c r="F308" s="223"/>
      <c r="G308" s="238"/>
      <c r="H308" s="260"/>
      <c r="I308" s="7"/>
      <c r="J308" s="7"/>
      <c r="K308" s="7"/>
      <c r="L308" s="7"/>
      <c r="M308" s="1"/>
      <c r="N308" s="1"/>
    </row>
    <row r="309" spans="1:14" ht="12.75" customHeight="1">
      <c r="A309" s="7"/>
      <c r="B309" s="7"/>
      <c r="C309" s="8"/>
      <c r="D309" s="7"/>
      <c r="E309" s="14"/>
      <c r="F309" s="223"/>
      <c r="G309" s="238"/>
      <c r="H309" s="260"/>
      <c r="I309" s="7"/>
      <c r="J309" s="7"/>
      <c r="K309" s="7"/>
      <c r="L309" s="7"/>
      <c r="M309" s="1"/>
      <c r="N309" s="1"/>
    </row>
    <row r="310" spans="1:14" ht="12.75" customHeight="1">
      <c r="A310" s="7"/>
      <c r="B310" s="7"/>
      <c r="C310" s="8"/>
      <c r="D310" s="7"/>
      <c r="E310" s="7"/>
      <c r="F310" s="223"/>
      <c r="G310" s="238"/>
      <c r="H310" s="260"/>
      <c r="I310" s="7"/>
      <c r="J310" s="7"/>
      <c r="K310" s="7"/>
      <c r="L310" s="7"/>
      <c r="M310" s="1"/>
      <c r="N310" s="1"/>
    </row>
    <row r="311" spans="1:14" ht="12.75" customHeight="1">
      <c r="A311" s="7"/>
      <c r="B311" s="7"/>
      <c r="C311" s="8"/>
      <c r="D311" s="7"/>
      <c r="E311" s="7"/>
      <c r="F311" s="223"/>
      <c r="G311" s="238"/>
      <c r="H311" s="260"/>
      <c r="I311" s="7"/>
      <c r="J311" s="7"/>
      <c r="K311" s="7"/>
      <c r="L311" s="7"/>
      <c r="M311" s="1"/>
      <c r="N311" s="1"/>
    </row>
    <row r="312" spans="1:14" ht="12.75" customHeight="1">
      <c r="A312" s="7"/>
      <c r="B312" s="7"/>
      <c r="C312" s="8"/>
      <c r="D312" s="7"/>
      <c r="E312" s="7"/>
      <c r="F312" s="223"/>
      <c r="G312" s="238"/>
      <c r="H312" s="260"/>
      <c r="I312" s="7"/>
      <c r="J312" s="7"/>
      <c r="K312" s="7"/>
      <c r="L312" s="7"/>
      <c r="M312" s="1"/>
      <c r="N312" s="1"/>
    </row>
    <row r="313" spans="1:14" ht="12.75" customHeight="1">
      <c r="A313" s="7"/>
      <c r="B313" s="7"/>
      <c r="C313" s="8"/>
      <c r="D313" s="7"/>
      <c r="E313" s="7"/>
      <c r="F313" s="223"/>
      <c r="G313" s="238"/>
      <c r="H313" s="260"/>
      <c r="I313" s="7"/>
      <c r="J313" s="7"/>
      <c r="K313" s="7"/>
      <c r="L313" s="7"/>
      <c r="M313" s="1"/>
      <c r="N313" s="1"/>
    </row>
    <row r="314" spans="1:14" ht="12.75" customHeight="1">
      <c r="A314" s="7"/>
      <c r="B314" s="7"/>
      <c r="C314" s="8"/>
      <c r="D314" s="7"/>
      <c r="E314" s="7"/>
      <c r="F314" s="223"/>
      <c r="G314" s="238"/>
      <c r="H314" s="260"/>
      <c r="I314" s="7"/>
      <c r="J314" s="7"/>
      <c r="K314" s="7"/>
      <c r="L314" s="7"/>
      <c r="M314" s="1"/>
      <c r="N314" s="1"/>
    </row>
    <row r="315" spans="1:14" ht="12.75" customHeight="1">
      <c r="A315" s="7"/>
      <c r="B315" s="7"/>
      <c r="C315" s="8"/>
      <c r="D315" s="7"/>
      <c r="E315" s="7"/>
      <c r="F315" s="223"/>
      <c r="G315" s="238"/>
      <c r="H315" s="260"/>
      <c r="I315" s="7"/>
      <c r="J315" s="7"/>
      <c r="K315" s="7"/>
      <c r="L315" s="7"/>
      <c r="M315" s="1"/>
      <c r="N315" s="1"/>
    </row>
    <row r="316" spans="1:14" ht="12.75" customHeight="1">
      <c r="A316" s="7"/>
      <c r="B316" s="7"/>
      <c r="C316" s="8"/>
      <c r="D316" s="7"/>
      <c r="E316" s="7"/>
      <c r="F316" s="223"/>
      <c r="G316" s="238"/>
      <c r="H316" s="260"/>
      <c r="I316" s="7"/>
      <c r="J316" s="7"/>
      <c r="K316" s="7"/>
      <c r="L316" s="7"/>
      <c r="M316" s="1"/>
      <c r="N316" s="1"/>
    </row>
    <row r="317" spans="1:14" ht="12.75" customHeight="1">
      <c r="A317" s="7"/>
      <c r="B317" s="7"/>
      <c r="C317" s="8"/>
      <c r="D317" s="7"/>
      <c r="E317" s="7"/>
      <c r="F317" s="223"/>
      <c r="G317" s="238"/>
      <c r="H317" s="260"/>
      <c r="I317" s="7"/>
      <c r="J317" s="7"/>
      <c r="K317" s="7"/>
      <c r="L317" s="7"/>
      <c r="M317" s="1"/>
      <c r="N317" s="1"/>
    </row>
    <row r="318" spans="1:14" ht="12.75" customHeight="1">
      <c r="A318" s="7"/>
      <c r="B318" s="7"/>
      <c r="C318" s="8"/>
      <c r="D318" s="7"/>
      <c r="E318" s="7"/>
      <c r="F318" s="223"/>
      <c r="G318" s="238"/>
      <c r="H318" s="260"/>
      <c r="I318" s="7"/>
      <c r="J318" s="7"/>
      <c r="K318" s="7"/>
      <c r="L318" s="7"/>
      <c r="M318" s="1"/>
      <c r="N318" s="1"/>
    </row>
    <row r="319" spans="1:14" ht="12.75" customHeight="1">
      <c r="A319" s="7"/>
      <c r="B319" s="7"/>
      <c r="C319" s="8"/>
      <c r="D319" s="7"/>
      <c r="E319" s="7"/>
      <c r="F319" s="223"/>
      <c r="G319" s="238"/>
      <c r="H319" s="260"/>
      <c r="I319" s="7"/>
      <c r="J319" s="7"/>
      <c r="K319" s="7"/>
      <c r="L319" s="7"/>
      <c r="M319" s="1"/>
      <c r="N319" s="1"/>
    </row>
    <row r="320" spans="1:14" ht="12.75" customHeight="1">
      <c r="A320" s="7"/>
      <c r="B320" s="7"/>
      <c r="C320" s="8"/>
      <c r="D320" s="7"/>
      <c r="E320" s="7"/>
      <c r="F320" s="223"/>
      <c r="G320" s="238"/>
      <c r="H320" s="260"/>
      <c r="I320" s="7"/>
      <c r="J320" s="7"/>
      <c r="K320" s="7"/>
      <c r="L320" s="7"/>
      <c r="M320" s="1"/>
      <c r="N320" s="1"/>
    </row>
    <row r="321" spans="1:14" ht="12.75" customHeight="1">
      <c r="A321" s="7"/>
      <c r="B321" s="7"/>
      <c r="C321" s="8"/>
      <c r="D321" s="7"/>
      <c r="E321" s="7"/>
      <c r="F321" s="223"/>
      <c r="G321" s="238"/>
      <c r="H321" s="260"/>
      <c r="I321" s="7"/>
      <c r="J321" s="7"/>
      <c r="K321" s="7"/>
      <c r="L321" s="7"/>
      <c r="M321" s="1"/>
      <c r="N321" s="1"/>
    </row>
    <row r="322" spans="1:14" ht="12.75" customHeight="1">
      <c r="A322" s="7"/>
      <c r="B322" s="7"/>
      <c r="C322" s="8"/>
      <c r="D322" s="7"/>
      <c r="E322" s="7"/>
      <c r="F322" s="223"/>
      <c r="G322" s="238"/>
      <c r="H322" s="260"/>
      <c r="I322" s="7"/>
      <c r="J322" s="7"/>
      <c r="K322" s="7"/>
      <c r="L322" s="7"/>
      <c r="M322" s="1"/>
      <c r="N322" s="1"/>
    </row>
    <row r="323" spans="1:14" ht="12.75" customHeight="1">
      <c r="A323" s="7"/>
      <c r="B323" s="7"/>
      <c r="C323" s="8"/>
      <c r="D323" s="7"/>
      <c r="E323" s="7"/>
      <c r="F323" s="223"/>
      <c r="G323" s="238"/>
      <c r="H323" s="260"/>
      <c r="I323" s="7"/>
      <c r="J323" s="7"/>
      <c r="K323" s="7"/>
      <c r="L323" s="7"/>
      <c r="M323" s="1"/>
      <c r="N323" s="1"/>
    </row>
    <row r="324" spans="1:14" ht="12.75" customHeight="1">
      <c r="A324" s="1"/>
      <c r="B324" s="1"/>
      <c r="C324" s="2"/>
      <c r="D324" s="1"/>
      <c r="E324" s="1"/>
      <c r="F324" s="223"/>
      <c r="G324" s="237"/>
      <c r="H324" s="260"/>
      <c r="I324" s="1"/>
      <c r="J324" s="1"/>
      <c r="K324" s="1"/>
      <c r="L324" s="1"/>
      <c r="M324" s="1"/>
      <c r="N324" s="1"/>
    </row>
    <row r="325" spans="1:14" ht="13.5" customHeight="1" thickBot="1">
      <c r="A325" s="1"/>
      <c r="B325" s="1"/>
      <c r="C325" s="2"/>
      <c r="D325" s="1"/>
      <c r="E325" s="7" t="s">
        <v>249</v>
      </c>
      <c r="F325" s="223"/>
      <c r="G325" s="237"/>
      <c r="H325" s="260"/>
      <c r="I325" s="1"/>
      <c r="J325" s="1"/>
      <c r="K325" s="1"/>
      <c r="L325" s="1"/>
      <c r="M325" s="1"/>
      <c r="N325" s="1"/>
    </row>
    <row r="326" spans="1:14" ht="25.5" customHeight="1">
      <c r="A326" s="1"/>
      <c r="B326" s="1"/>
      <c r="C326" s="2"/>
      <c r="D326" s="1"/>
      <c r="E326" s="409" t="s">
        <v>250</v>
      </c>
      <c r="F326" s="223"/>
      <c r="G326" s="237"/>
      <c r="H326" s="260"/>
      <c r="I326" s="1"/>
      <c r="J326" s="1"/>
      <c r="K326" s="1"/>
      <c r="L326" s="1"/>
      <c r="M326" s="1"/>
      <c r="N326" s="1"/>
    </row>
    <row r="327" spans="1:14" ht="13.5" customHeight="1" thickBot="1">
      <c r="A327" s="1"/>
      <c r="B327" s="1"/>
      <c r="C327" s="2"/>
      <c r="D327" s="1"/>
      <c r="E327" s="410"/>
      <c r="F327" s="223"/>
      <c r="G327" s="237"/>
      <c r="H327" s="260"/>
      <c r="I327" s="1"/>
      <c r="J327" s="1"/>
      <c r="K327" s="1"/>
      <c r="L327" s="1"/>
      <c r="M327" s="1"/>
      <c r="N327" s="1"/>
    </row>
    <row r="328" spans="1:14" ht="12.75" customHeight="1">
      <c r="A328" s="1"/>
      <c r="B328" s="1"/>
      <c r="C328" s="2"/>
      <c r="D328" s="1"/>
      <c r="E328" s="93">
        <v>49875.799999999996</v>
      </c>
      <c r="F328" s="223"/>
      <c r="G328" s="237"/>
      <c r="H328" s="260"/>
      <c r="I328" s="1"/>
      <c r="J328" s="1"/>
      <c r="K328" s="1"/>
      <c r="L328" s="1"/>
      <c r="M328" s="1"/>
      <c r="N328" s="1"/>
    </row>
    <row r="329" spans="1:14" ht="12.75" customHeight="1">
      <c r="A329" s="1"/>
      <c r="B329" s="1"/>
      <c r="C329" s="2"/>
      <c r="D329" s="1"/>
      <c r="E329" s="93">
        <v>97389.93</v>
      </c>
      <c r="F329" s="223"/>
      <c r="G329" s="237"/>
      <c r="H329" s="260"/>
      <c r="I329" s="1"/>
      <c r="J329" s="1"/>
      <c r="K329" s="1"/>
      <c r="L329" s="1"/>
      <c r="M329" s="1"/>
      <c r="N329" s="1"/>
    </row>
    <row r="330" spans="1:14" ht="12.75" customHeight="1">
      <c r="A330" s="1"/>
      <c r="B330" s="1"/>
      <c r="C330" s="2"/>
      <c r="D330" s="1"/>
      <c r="E330" s="93">
        <v>0</v>
      </c>
      <c r="F330" s="223"/>
      <c r="G330" s="237"/>
      <c r="H330" s="260"/>
      <c r="I330" s="1"/>
      <c r="J330" s="1"/>
      <c r="K330" s="1"/>
      <c r="L330" s="1"/>
      <c r="M330" s="1"/>
      <c r="N330" s="1"/>
    </row>
    <row r="331" spans="1:14" ht="12.75" customHeight="1">
      <c r="A331" s="1"/>
      <c r="B331" s="1"/>
      <c r="C331" s="2"/>
      <c r="D331" s="1"/>
      <c r="E331" s="93">
        <v>13536.71</v>
      </c>
      <c r="F331" s="223"/>
      <c r="G331" s="237"/>
      <c r="H331" s="260"/>
      <c r="I331" s="1"/>
      <c r="J331" s="1"/>
      <c r="K331" s="1"/>
      <c r="L331" s="1"/>
      <c r="M331" s="1"/>
      <c r="N331" s="1"/>
    </row>
    <row r="332" spans="1:14" ht="12.75" customHeight="1">
      <c r="A332" s="1"/>
      <c r="B332" s="1"/>
      <c r="C332" s="2"/>
      <c r="D332" s="1"/>
      <c r="E332" s="93">
        <v>884.59</v>
      </c>
      <c r="F332" s="223"/>
      <c r="G332" s="237"/>
      <c r="H332" s="260"/>
      <c r="I332" s="1"/>
      <c r="J332" s="1"/>
      <c r="K332" s="1"/>
      <c r="L332" s="1"/>
      <c r="M332" s="1"/>
      <c r="N332" s="1"/>
    </row>
    <row r="333" spans="1:14" ht="12.75" customHeight="1">
      <c r="A333" s="1"/>
      <c r="B333" s="1"/>
      <c r="C333" s="2"/>
      <c r="D333" s="1"/>
      <c r="E333" s="93">
        <v>0</v>
      </c>
      <c r="F333" s="223"/>
      <c r="G333" s="237"/>
      <c r="H333" s="260"/>
      <c r="I333" s="1"/>
      <c r="J333" s="1"/>
      <c r="K333" s="1"/>
      <c r="L333" s="1"/>
      <c r="M333" s="1"/>
      <c r="N333" s="1"/>
    </row>
    <row r="334" spans="1:14" ht="13.5" customHeight="1" thickBot="1">
      <c r="A334" s="1"/>
      <c r="B334" s="1"/>
      <c r="C334" s="2"/>
      <c r="D334" s="1"/>
      <c r="E334" s="98">
        <v>0</v>
      </c>
      <c r="F334" s="223"/>
      <c r="G334" s="237"/>
      <c r="H334" s="260"/>
      <c r="I334" s="1"/>
      <c r="J334" s="1"/>
      <c r="K334" s="1"/>
      <c r="L334" s="1"/>
      <c r="M334" s="1"/>
      <c r="N334" s="1"/>
    </row>
    <row r="335" spans="1:14" ht="12.75" customHeight="1">
      <c r="A335" s="1"/>
      <c r="B335" s="1"/>
      <c r="C335" s="2"/>
      <c r="D335" s="1"/>
      <c r="E335" s="104"/>
      <c r="F335" s="223"/>
      <c r="G335" s="237"/>
      <c r="H335" s="260"/>
      <c r="I335" s="1"/>
      <c r="J335" s="1"/>
      <c r="K335" s="1"/>
      <c r="L335" s="1"/>
      <c r="M335" s="1"/>
      <c r="N335" s="1"/>
    </row>
    <row r="336" spans="1:14" ht="15.75" customHeight="1" thickBot="1">
      <c r="A336" s="1"/>
      <c r="B336" s="1"/>
      <c r="C336" s="2"/>
      <c r="D336" s="1"/>
      <c r="E336" s="99">
        <f>SUM(E328:E335)</f>
        <v>161687.02999999997</v>
      </c>
      <c r="F336" s="223"/>
      <c r="G336" s="237"/>
      <c r="H336" s="260"/>
      <c r="I336" s="1"/>
      <c r="J336" s="1"/>
      <c r="K336" s="1"/>
      <c r="L336" s="1"/>
      <c r="M336" s="1"/>
      <c r="N336" s="1"/>
    </row>
    <row r="337" spans="1:14" ht="14.25" customHeight="1">
      <c r="A337" s="1"/>
      <c r="B337" s="1"/>
      <c r="C337" s="2"/>
      <c r="D337" s="1"/>
      <c r="E337" s="100"/>
      <c r="F337" s="223"/>
      <c r="G337" s="237"/>
      <c r="H337" s="260"/>
      <c r="I337" s="1"/>
      <c r="J337" s="1"/>
      <c r="K337" s="1"/>
      <c r="L337" s="1"/>
      <c r="M337" s="1"/>
      <c r="N337" s="1"/>
    </row>
    <row r="338" spans="1:14" ht="14.25" customHeight="1">
      <c r="A338" s="1"/>
      <c r="B338" s="1"/>
      <c r="C338" s="2"/>
      <c r="D338" s="1"/>
      <c r="E338" s="100"/>
      <c r="F338" s="223"/>
      <c r="G338" s="237"/>
      <c r="H338" s="260"/>
      <c r="I338" s="1"/>
      <c r="J338" s="1"/>
      <c r="K338" s="1"/>
      <c r="L338" s="1"/>
      <c r="M338" s="1"/>
      <c r="N338" s="1"/>
    </row>
    <row r="339" spans="1:14" ht="14.25" customHeight="1">
      <c r="A339" s="1"/>
      <c r="B339" s="1"/>
      <c r="C339" s="2"/>
      <c r="D339" s="1"/>
      <c r="E339" s="100"/>
      <c r="F339" s="223"/>
      <c r="G339" s="237"/>
      <c r="H339" s="260"/>
      <c r="I339" s="1"/>
      <c r="J339" s="1"/>
      <c r="K339" s="1"/>
      <c r="L339" s="1"/>
      <c r="M339" s="1"/>
      <c r="N339" s="1"/>
    </row>
    <row r="340" spans="1:14" ht="13.5" customHeight="1" thickBot="1">
      <c r="A340" s="1"/>
      <c r="B340" s="1"/>
      <c r="C340" s="2"/>
      <c r="D340" s="1"/>
      <c r="E340" s="87" t="s">
        <v>251</v>
      </c>
      <c r="F340" s="223"/>
      <c r="G340" s="237"/>
      <c r="H340" s="260"/>
      <c r="I340" s="1"/>
      <c r="J340" s="1"/>
      <c r="K340" s="1"/>
      <c r="L340" s="1"/>
      <c r="M340" s="1"/>
      <c r="N340" s="1"/>
    </row>
    <row r="341" spans="1:14" ht="25.5" customHeight="1">
      <c r="A341" s="1"/>
      <c r="B341" s="1"/>
      <c r="C341" s="2"/>
      <c r="D341" s="1"/>
      <c r="E341" s="409" t="s">
        <v>250</v>
      </c>
      <c r="F341" s="223"/>
      <c r="G341" s="237"/>
      <c r="H341" s="260"/>
      <c r="I341" s="1"/>
      <c r="J341" s="1"/>
      <c r="K341" s="1"/>
      <c r="L341" s="1"/>
      <c r="M341" s="1"/>
      <c r="N341" s="1"/>
    </row>
    <row r="342" spans="1:14" ht="13.5" customHeight="1" thickBot="1">
      <c r="A342" s="1"/>
      <c r="B342" s="1"/>
      <c r="C342" s="2"/>
      <c r="D342" s="1"/>
      <c r="E342" s="410"/>
      <c r="F342" s="223"/>
      <c r="G342" s="237"/>
      <c r="H342" s="260"/>
      <c r="I342" s="1"/>
      <c r="J342" s="1"/>
      <c r="K342" s="1"/>
      <c r="L342" s="1"/>
      <c r="M342" s="1"/>
      <c r="N342" s="1"/>
    </row>
    <row r="343" spans="1:14" ht="12.75" customHeight="1">
      <c r="A343" s="1"/>
      <c r="B343" s="1"/>
      <c r="C343" s="2"/>
      <c r="D343" s="1"/>
      <c r="E343" s="103">
        <v>19000.5</v>
      </c>
      <c r="F343" s="223"/>
      <c r="G343" s="237"/>
      <c r="H343" s="260"/>
      <c r="I343" s="1"/>
      <c r="J343" s="1"/>
      <c r="K343" s="1"/>
      <c r="L343" s="1"/>
      <c r="M343" s="1"/>
      <c r="N343" s="1"/>
    </row>
    <row r="344" spans="1:14" ht="12.75" customHeight="1">
      <c r="A344" s="1"/>
      <c r="B344" s="1"/>
      <c r="C344" s="2"/>
      <c r="D344" s="1"/>
      <c r="E344" s="93">
        <v>128377.54000000001</v>
      </c>
      <c r="F344" s="223"/>
      <c r="G344" s="237"/>
      <c r="H344" s="260"/>
      <c r="I344" s="1"/>
      <c r="J344" s="1"/>
      <c r="K344" s="1"/>
      <c r="L344" s="1"/>
      <c r="M344" s="1"/>
      <c r="N344" s="1"/>
    </row>
    <row r="345" spans="1:14" ht="12.75" customHeight="1">
      <c r="A345" s="1"/>
      <c r="B345" s="1"/>
      <c r="C345" s="2"/>
      <c r="D345" s="1"/>
      <c r="E345" s="93">
        <v>0</v>
      </c>
      <c r="F345" s="223"/>
      <c r="G345" s="237"/>
      <c r="H345" s="260"/>
      <c r="I345" s="1"/>
      <c r="J345" s="1"/>
      <c r="K345" s="1"/>
      <c r="L345" s="1"/>
      <c r="M345" s="1"/>
      <c r="N345" s="1"/>
    </row>
    <row r="346" spans="1:14" ht="12.75" customHeight="1">
      <c r="A346" s="1"/>
      <c r="B346" s="1"/>
      <c r="C346" s="2"/>
      <c r="D346" s="1"/>
      <c r="E346" s="93">
        <v>340.09000000000003</v>
      </c>
      <c r="F346" s="223"/>
      <c r="G346" s="237"/>
      <c r="H346" s="260"/>
      <c r="I346" s="1"/>
      <c r="J346" s="1"/>
      <c r="K346" s="1"/>
      <c r="L346" s="1"/>
      <c r="M346" s="1"/>
      <c r="N346" s="1"/>
    </row>
    <row r="347" spans="1:14" ht="12.75" customHeight="1">
      <c r="A347" s="1"/>
      <c r="B347" s="1"/>
      <c r="C347" s="2"/>
      <c r="D347" s="1"/>
      <c r="E347" s="93">
        <v>13968.9</v>
      </c>
      <c r="F347" s="223"/>
      <c r="G347" s="237"/>
      <c r="H347" s="260"/>
      <c r="I347" s="1"/>
      <c r="J347" s="1"/>
      <c r="K347" s="1"/>
      <c r="L347" s="1"/>
      <c r="M347" s="1"/>
      <c r="N347" s="1"/>
    </row>
    <row r="348" spans="1:14" ht="15.75" customHeight="1" thickBot="1">
      <c r="A348" s="1"/>
      <c r="B348" s="1"/>
      <c r="C348" s="2"/>
      <c r="D348" s="1"/>
      <c r="E348" s="98">
        <v>0</v>
      </c>
      <c r="F348" s="223"/>
      <c r="G348" s="237"/>
      <c r="H348" s="260"/>
      <c r="I348" s="1"/>
      <c r="J348" s="1"/>
      <c r="K348" s="1"/>
      <c r="L348" s="1"/>
      <c r="M348" s="1"/>
      <c r="N348" s="1"/>
    </row>
    <row r="349" spans="1:14" ht="12.75" customHeight="1">
      <c r="A349" s="1"/>
      <c r="B349" s="1"/>
      <c r="C349" s="2"/>
      <c r="D349" s="1"/>
      <c r="E349" s="211"/>
      <c r="F349" s="223"/>
      <c r="G349" s="237"/>
      <c r="H349" s="260"/>
      <c r="I349" s="1"/>
      <c r="J349" s="1"/>
      <c r="K349" s="1"/>
      <c r="L349" s="1"/>
      <c r="M349" s="1"/>
      <c r="N349" s="1"/>
    </row>
    <row r="350" spans="1:14" ht="15.75" customHeight="1" thickBot="1">
      <c r="A350" s="1"/>
      <c r="B350" s="1"/>
      <c r="C350" s="2"/>
      <c r="D350" s="1"/>
      <c r="E350" s="99">
        <f>SUM(E343:E349)</f>
        <v>161687.03</v>
      </c>
      <c r="F350" s="223"/>
      <c r="G350" s="237"/>
      <c r="H350" s="260"/>
      <c r="I350" s="1"/>
      <c r="J350" s="1"/>
      <c r="K350" s="1"/>
      <c r="L350" s="1"/>
      <c r="M350" s="1"/>
      <c r="N350" s="1"/>
    </row>
    <row r="351" spans="1:14" ht="14.25" customHeight="1">
      <c r="A351" s="1"/>
      <c r="B351" s="1"/>
      <c r="C351" s="2"/>
      <c r="D351" s="1"/>
      <c r="E351" s="100"/>
      <c r="F351" s="223"/>
      <c r="G351" s="237"/>
      <c r="H351" s="260"/>
      <c r="I351" s="1"/>
      <c r="J351" s="1"/>
      <c r="K351" s="1"/>
      <c r="L351" s="1"/>
      <c r="M351" s="1"/>
      <c r="N351" s="1"/>
    </row>
    <row r="352" spans="1:14" ht="15.75" customHeight="1" thickBot="1">
      <c r="A352" s="1"/>
      <c r="B352" s="1"/>
      <c r="C352" s="2"/>
      <c r="D352" s="1"/>
      <c r="E352" s="100"/>
      <c r="F352" s="223"/>
      <c r="G352" s="237"/>
      <c r="H352" s="260"/>
      <c r="I352" s="1"/>
      <c r="J352" s="1"/>
      <c r="K352" s="1"/>
      <c r="L352" s="1"/>
      <c r="M352" s="1"/>
      <c r="N352" s="1"/>
    </row>
    <row r="353" spans="1:14" ht="25.5" customHeight="1">
      <c r="A353" s="1"/>
      <c r="B353" s="1"/>
      <c r="C353" s="2"/>
      <c r="D353" s="1"/>
      <c r="E353" s="409" t="s">
        <v>250</v>
      </c>
      <c r="F353" s="223"/>
      <c r="G353" s="237"/>
      <c r="H353" s="260"/>
      <c r="I353" s="1"/>
      <c r="J353" s="1"/>
      <c r="K353" s="1"/>
      <c r="L353" s="1"/>
      <c r="M353" s="1"/>
      <c r="N353" s="1"/>
    </row>
    <row r="354" spans="1:14" ht="13.5" customHeight="1" thickBot="1">
      <c r="A354" s="1"/>
      <c r="B354" s="1"/>
      <c r="C354" s="2"/>
      <c r="D354" s="1"/>
      <c r="E354" s="410"/>
      <c r="F354" s="223"/>
      <c r="G354" s="237"/>
      <c r="H354" s="260"/>
      <c r="I354" s="1"/>
      <c r="J354" s="1"/>
      <c r="K354" s="1"/>
      <c r="L354" s="1"/>
      <c r="M354" s="1"/>
      <c r="N354" s="1"/>
    </row>
    <row r="355" spans="1:14" ht="14.25" customHeight="1">
      <c r="A355" s="1"/>
      <c r="B355" s="1"/>
      <c r="C355" s="2"/>
      <c r="D355" s="1"/>
      <c r="E355" s="109">
        <f>E336</f>
        <v>161687.02999999997</v>
      </c>
      <c r="F355" s="223"/>
      <c r="G355" s="237"/>
      <c r="H355" s="260"/>
      <c r="I355" s="1"/>
      <c r="J355" s="1"/>
      <c r="K355" s="1"/>
      <c r="L355" s="1"/>
      <c r="M355" s="1"/>
      <c r="N355" s="1"/>
    </row>
    <row r="356" spans="1:14" ht="14.25" customHeight="1">
      <c r="A356" s="1"/>
      <c r="B356" s="1"/>
      <c r="C356" s="2"/>
      <c r="D356" s="1"/>
      <c r="E356" s="109">
        <f>E350</f>
        <v>161687.03</v>
      </c>
      <c r="F356" s="223"/>
      <c r="G356" s="237"/>
      <c r="H356" s="260"/>
      <c r="I356" s="1"/>
      <c r="J356" s="1"/>
      <c r="K356" s="1"/>
      <c r="L356" s="1"/>
      <c r="M356" s="1"/>
      <c r="N356" s="1"/>
    </row>
    <row r="357" spans="1:14" ht="14.25" customHeight="1">
      <c r="A357" s="1"/>
      <c r="B357" s="1"/>
      <c r="C357" s="2"/>
      <c r="D357" s="1"/>
      <c r="E357" s="110"/>
      <c r="F357" s="223"/>
      <c r="G357" s="237"/>
      <c r="H357" s="260"/>
      <c r="I357" s="1"/>
      <c r="J357" s="1"/>
      <c r="K357" s="1"/>
      <c r="L357" s="1"/>
      <c r="M357" s="1"/>
      <c r="N357" s="1"/>
    </row>
    <row r="358" spans="1:14" ht="15.75" customHeight="1">
      <c r="A358" s="1"/>
      <c r="B358" s="1"/>
      <c r="C358" s="2"/>
      <c r="D358" s="1"/>
      <c r="E358" s="213">
        <f>SUM(E356,-E355)</f>
        <v>2.9103830456733704E-11</v>
      </c>
      <c r="F358" s="223"/>
      <c r="G358" s="237"/>
      <c r="H358" s="260"/>
      <c r="I358" s="1"/>
      <c r="J358" s="1"/>
      <c r="K358" s="1"/>
      <c r="L358" s="1"/>
      <c r="M358" s="1"/>
      <c r="N358" s="1"/>
    </row>
    <row r="359" spans="1:14" ht="12.75" customHeight="1">
      <c r="A359" s="1"/>
      <c r="B359" s="1"/>
      <c r="C359" s="2"/>
      <c r="D359" s="1"/>
      <c r="E359" s="1"/>
      <c r="F359" s="223"/>
      <c r="G359" s="237"/>
      <c r="H359" s="260"/>
      <c r="I359" s="1"/>
      <c r="J359" s="1"/>
      <c r="K359" s="1"/>
      <c r="L359" s="1"/>
      <c r="M359" s="1"/>
      <c r="N359" s="1"/>
    </row>
    <row r="360" spans="1:14" ht="12.75" customHeight="1">
      <c r="A360" s="1"/>
      <c r="B360" s="1"/>
      <c r="C360" s="2"/>
      <c r="D360" s="1"/>
      <c r="E360" s="1"/>
      <c r="F360" s="223"/>
      <c r="G360" s="237"/>
      <c r="H360" s="260"/>
      <c r="I360" s="1"/>
      <c r="J360" s="1"/>
      <c r="K360" s="1"/>
      <c r="L360" s="1"/>
      <c r="M360" s="1"/>
      <c r="N360" s="1"/>
    </row>
    <row r="361" spans="1:14" ht="12.75" customHeight="1">
      <c r="A361" s="1"/>
      <c r="B361" s="1"/>
      <c r="C361" s="2"/>
      <c r="D361" s="1"/>
      <c r="E361" s="1"/>
      <c r="F361" s="223"/>
      <c r="G361" s="237"/>
      <c r="H361" s="260"/>
      <c r="I361" s="1"/>
      <c r="J361" s="1"/>
      <c r="K361" s="1"/>
      <c r="L361" s="1"/>
      <c r="M361" s="1"/>
      <c r="N361" s="1"/>
    </row>
    <row r="362" spans="1:14" ht="12.75" customHeight="1">
      <c r="A362" s="1"/>
      <c r="B362" s="1"/>
      <c r="C362" s="2"/>
      <c r="D362" s="1"/>
      <c r="E362" s="1"/>
      <c r="F362" s="223"/>
      <c r="G362" s="237"/>
      <c r="H362" s="260"/>
      <c r="I362" s="1"/>
      <c r="J362" s="1"/>
      <c r="K362" s="1"/>
      <c r="L362" s="1"/>
      <c r="M362" s="1"/>
      <c r="N362" s="1"/>
    </row>
    <row r="363" spans="1:14" ht="12.75" customHeight="1">
      <c r="A363" s="1"/>
      <c r="B363" s="1"/>
      <c r="C363" s="2"/>
      <c r="D363" s="1"/>
      <c r="E363" s="1"/>
      <c r="F363" s="223"/>
      <c r="G363" s="237"/>
      <c r="H363" s="260"/>
      <c r="I363" s="1"/>
      <c r="J363" s="1"/>
      <c r="K363" s="1"/>
      <c r="L363" s="1"/>
      <c r="M363" s="1"/>
      <c r="N363" s="1"/>
    </row>
    <row r="364" spans="1:14" ht="12.75" customHeight="1">
      <c r="A364" s="1"/>
      <c r="B364" s="1"/>
      <c r="C364" s="2"/>
      <c r="D364" s="1"/>
      <c r="E364" s="1"/>
      <c r="F364" s="223"/>
      <c r="G364" s="237"/>
      <c r="H364" s="260"/>
      <c r="I364" s="1"/>
      <c r="J364" s="1"/>
      <c r="K364" s="1"/>
      <c r="L364" s="1"/>
      <c r="M364" s="1"/>
      <c r="N364" s="1"/>
    </row>
    <row r="365" spans="1:14" ht="12.75" customHeight="1">
      <c r="A365" s="1"/>
      <c r="B365" s="1"/>
      <c r="C365" s="2"/>
      <c r="D365" s="1"/>
      <c r="E365" s="1"/>
      <c r="F365" s="223"/>
      <c r="G365" s="237"/>
      <c r="H365" s="260"/>
      <c r="I365" s="1"/>
      <c r="J365" s="1"/>
      <c r="K365" s="1"/>
      <c r="L365" s="1"/>
      <c r="M365" s="1"/>
      <c r="N365" s="1"/>
    </row>
    <row r="366" spans="1:14" ht="12.75" customHeight="1">
      <c r="A366" s="1"/>
      <c r="B366" s="1"/>
      <c r="C366" s="2"/>
      <c r="D366" s="1"/>
      <c r="E366" s="1"/>
      <c r="F366" s="223"/>
      <c r="G366" s="237"/>
      <c r="H366" s="260"/>
      <c r="I366" s="1"/>
      <c r="J366" s="1"/>
      <c r="K366" s="1"/>
      <c r="L366" s="1"/>
      <c r="M366" s="1"/>
      <c r="N366" s="1"/>
    </row>
    <row r="367" spans="1:14" ht="30" customHeight="1">
      <c r="A367" s="1"/>
      <c r="B367" s="1"/>
      <c r="C367" s="2"/>
      <c r="D367" s="1"/>
      <c r="E367" s="215"/>
      <c r="F367" s="223"/>
      <c r="G367" s="237"/>
      <c r="H367" s="260"/>
      <c r="I367" s="1"/>
      <c r="J367" s="1"/>
      <c r="K367" s="1"/>
      <c r="L367" s="1"/>
      <c r="M367" s="1"/>
      <c r="N367" s="1"/>
    </row>
    <row r="368" spans="1:14" ht="12.75" customHeight="1">
      <c r="A368" s="1"/>
      <c r="B368" s="1"/>
      <c r="C368" s="2"/>
      <c r="D368" s="1"/>
      <c r="E368" s="1"/>
      <c r="F368" s="223"/>
      <c r="G368" s="237"/>
      <c r="H368" s="260"/>
      <c r="I368" s="1"/>
      <c r="J368" s="1"/>
      <c r="K368" s="1"/>
      <c r="L368" s="1"/>
      <c r="M368" s="1"/>
      <c r="N368" s="1"/>
    </row>
    <row r="369" spans="1:14" ht="12.75" customHeight="1">
      <c r="A369" s="1"/>
      <c r="B369" s="1"/>
      <c r="C369" s="2"/>
      <c r="D369" s="1"/>
      <c r="E369" s="1"/>
      <c r="F369" s="223"/>
      <c r="G369" s="237"/>
      <c r="H369" s="258"/>
      <c r="I369" s="1"/>
      <c r="J369" s="1"/>
      <c r="K369" s="1"/>
      <c r="L369" s="1"/>
      <c r="M369" s="1"/>
      <c r="N369" s="1"/>
    </row>
    <row r="370" spans="1:14" ht="15.75" customHeight="1">
      <c r="C370" s="88"/>
    </row>
    <row r="371" spans="1:14" ht="15.75" customHeight="1">
      <c r="C371" s="88"/>
    </row>
    <row r="372" spans="1:14" ht="15.75" customHeight="1">
      <c r="C372" s="88"/>
    </row>
    <row r="373" spans="1:14" ht="15.75" customHeight="1">
      <c r="C373" s="88"/>
    </row>
    <row r="374" spans="1:14" ht="15.75" customHeight="1">
      <c r="C374" s="88"/>
    </row>
    <row r="375" spans="1:14" ht="15.75" customHeight="1">
      <c r="C375" s="88"/>
    </row>
    <row r="376" spans="1:14" ht="15.75" customHeight="1">
      <c r="C376" s="88"/>
    </row>
    <row r="377" spans="1:14" ht="15.75" customHeight="1">
      <c r="C377" s="88"/>
    </row>
    <row r="378" spans="1:14" ht="15.75" customHeight="1">
      <c r="C378" s="88"/>
    </row>
    <row r="379" spans="1:14" ht="15.75" customHeight="1">
      <c r="C379" s="88"/>
    </row>
    <row r="380" spans="1:14" ht="15.75" customHeight="1">
      <c r="C380" s="88"/>
    </row>
    <row r="381" spans="1:14" ht="15.75" customHeight="1">
      <c r="C381" s="88"/>
    </row>
    <row r="382" spans="1:14" ht="15.75" customHeight="1">
      <c r="C382" s="88"/>
    </row>
    <row r="383" spans="1:14" ht="15.75" customHeight="1">
      <c r="C383" s="88"/>
    </row>
    <row r="384" spans="1:14" ht="15.75" customHeight="1">
      <c r="C384" s="88"/>
    </row>
    <row r="385" spans="3:3" ht="15.75" customHeight="1">
      <c r="C385" s="88"/>
    </row>
    <row r="386" spans="3:3" ht="15.75" customHeight="1">
      <c r="C386" s="88"/>
    </row>
    <row r="387" spans="3:3" ht="15.75" customHeight="1">
      <c r="C387" s="88"/>
    </row>
    <row r="388" spans="3:3" ht="15.75" customHeight="1">
      <c r="C388" s="88"/>
    </row>
    <row r="389" spans="3:3" ht="15.75" customHeight="1">
      <c r="C389" s="88"/>
    </row>
    <row r="390" spans="3:3" ht="15.75" customHeight="1">
      <c r="C390" s="88"/>
    </row>
    <row r="391" spans="3:3" ht="15.75" customHeight="1">
      <c r="C391" s="88"/>
    </row>
    <row r="392" spans="3:3" ht="15.75" customHeight="1">
      <c r="C392" s="88"/>
    </row>
    <row r="393" spans="3:3" ht="15.75" customHeight="1">
      <c r="C393" s="88"/>
    </row>
    <row r="394" spans="3:3" ht="15.75" customHeight="1">
      <c r="C394" s="88"/>
    </row>
    <row r="395" spans="3:3" ht="15.75" customHeight="1">
      <c r="C395" s="88"/>
    </row>
    <row r="396" spans="3:3" ht="15.75" customHeight="1">
      <c r="C396" s="88"/>
    </row>
    <row r="397" spans="3:3" ht="15.75" customHeight="1">
      <c r="C397" s="88"/>
    </row>
    <row r="398" spans="3:3" ht="15.75" customHeight="1">
      <c r="C398" s="88"/>
    </row>
    <row r="399" spans="3:3" ht="15.75" customHeight="1">
      <c r="C399" s="88"/>
    </row>
    <row r="400" spans="3:3" ht="15.75" customHeight="1">
      <c r="C400" s="88"/>
    </row>
    <row r="401" spans="3:3" ht="15.75" customHeight="1">
      <c r="C401" s="88"/>
    </row>
    <row r="402" spans="3:3" ht="15.75" customHeight="1">
      <c r="C402" s="88"/>
    </row>
    <row r="403" spans="3:3" ht="15.75" customHeight="1">
      <c r="C403" s="88"/>
    </row>
    <row r="404" spans="3:3" ht="15.75" customHeight="1">
      <c r="C404" s="88"/>
    </row>
    <row r="405" spans="3:3" ht="15.75" customHeight="1">
      <c r="C405" s="88"/>
    </row>
    <row r="406" spans="3:3" ht="15.75" customHeight="1">
      <c r="C406" s="88"/>
    </row>
    <row r="407" spans="3:3" ht="15.75" customHeight="1">
      <c r="C407" s="88"/>
    </row>
    <row r="408" spans="3:3" ht="15.75" customHeight="1">
      <c r="C408" s="88"/>
    </row>
    <row r="409" spans="3:3" ht="15.75" customHeight="1">
      <c r="C409" s="88"/>
    </row>
    <row r="410" spans="3:3" ht="15.75" customHeight="1">
      <c r="C410" s="88"/>
    </row>
    <row r="411" spans="3:3" ht="15.75" customHeight="1">
      <c r="C411" s="88"/>
    </row>
    <row r="412" spans="3:3" ht="15.75" customHeight="1">
      <c r="C412" s="88"/>
    </row>
    <row r="413" spans="3:3" ht="15.75" customHeight="1">
      <c r="C413" s="88"/>
    </row>
    <row r="414" spans="3:3" ht="15.75" customHeight="1">
      <c r="C414" s="88"/>
    </row>
    <row r="415" spans="3:3" ht="15.75" customHeight="1">
      <c r="C415" s="88"/>
    </row>
    <row r="416" spans="3:3" ht="15.75" customHeight="1">
      <c r="C416" s="88"/>
    </row>
    <row r="417" spans="3:3" ht="15.75" customHeight="1">
      <c r="C417" s="88"/>
    </row>
    <row r="418" spans="3:3" ht="15.75" customHeight="1">
      <c r="C418" s="88"/>
    </row>
    <row r="419" spans="3:3" ht="15.75" customHeight="1">
      <c r="C419" s="88"/>
    </row>
    <row r="420" spans="3:3" ht="15.75" customHeight="1">
      <c r="C420" s="88"/>
    </row>
    <row r="421" spans="3:3" ht="15.75" customHeight="1">
      <c r="C421" s="88"/>
    </row>
    <row r="422" spans="3:3" ht="15.75" customHeight="1">
      <c r="C422" s="88"/>
    </row>
    <row r="423" spans="3:3" ht="15.75" customHeight="1">
      <c r="C423" s="88"/>
    </row>
    <row r="424" spans="3:3" ht="15.75" customHeight="1">
      <c r="C424" s="88"/>
    </row>
    <row r="425" spans="3:3" ht="15.75" customHeight="1">
      <c r="C425" s="88"/>
    </row>
    <row r="426" spans="3:3" ht="15.75" customHeight="1">
      <c r="C426" s="88"/>
    </row>
    <row r="427" spans="3:3" ht="15.75" customHeight="1">
      <c r="C427" s="88"/>
    </row>
    <row r="428" spans="3:3" ht="15.75" customHeight="1">
      <c r="C428" s="88"/>
    </row>
    <row r="429" spans="3:3" ht="15.75" customHeight="1">
      <c r="C429" s="88"/>
    </row>
    <row r="430" spans="3:3" ht="15.75" customHeight="1">
      <c r="C430" s="88"/>
    </row>
    <row r="431" spans="3:3" ht="15.75" customHeight="1">
      <c r="C431" s="88"/>
    </row>
    <row r="432" spans="3:3" ht="15.75" customHeight="1">
      <c r="C432" s="88"/>
    </row>
    <row r="433" spans="3:3" ht="15.75" customHeight="1">
      <c r="C433" s="88"/>
    </row>
    <row r="434" spans="3:3" ht="15.75" customHeight="1">
      <c r="C434" s="88"/>
    </row>
    <row r="435" spans="3:3" ht="15.75" customHeight="1">
      <c r="C435" s="88"/>
    </row>
    <row r="436" spans="3:3" ht="15.75" customHeight="1">
      <c r="C436" s="88"/>
    </row>
    <row r="437" spans="3:3" ht="15.75" customHeight="1">
      <c r="C437" s="88"/>
    </row>
    <row r="438" spans="3:3" ht="15.75" customHeight="1">
      <c r="C438" s="88"/>
    </row>
    <row r="439" spans="3:3" ht="15.75" customHeight="1">
      <c r="C439" s="88"/>
    </row>
    <row r="440" spans="3:3" ht="15.75" customHeight="1">
      <c r="C440" s="88"/>
    </row>
    <row r="441" spans="3:3" ht="15.75" customHeight="1">
      <c r="C441" s="88"/>
    </row>
    <row r="442" spans="3:3" ht="15.75" customHeight="1">
      <c r="C442" s="88"/>
    </row>
    <row r="443" spans="3:3" ht="15.75" customHeight="1">
      <c r="C443" s="88"/>
    </row>
    <row r="444" spans="3:3" ht="15.75" customHeight="1">
      <c r="C444" s="88"/>
    </row>
    <row r="445" spans="3:3" ht="15.75" customHeight="1">
      <c r="C445" s="88"/>
    </row>
    <row r="446" spans="3:3" ht="15.75" customHeight="1">
      <c r="C446" s="88"/>
    </row>
    <row r="447" spans="3:3" ht="15.75" customHeight="1">
      <c r="C447" s="88"/>
    </row>
    <row r="448" spans="3:3" ht="15.75" customHeight="1">
      <c r="C448" s="88"/>
    </row>
    <row r="449" spans="3:3" ht="15.75" customHeight="1">
      <c r="C449" s="88"/>
    </row>
    <row r="450" spans="3:3" ht="15.75" customHeight="1">
      <c r="C450" s="88"/>
    </row>
    <row r="451" spans="3:3" ht="15.75" customHeight="1">
      <c r="C451" s="88"/>
    </row>
    <row r="452" spans="3:3" ht="15.75" customHeight="1">
      <c r="C452" s="88"/>
    </row>
    <row r="453" spans="3:3" ht="15.75" customHeight="1">
      <c r="C453" s="88"/>
    </row>
    <row r="454" spans="3:3" ht="15.75" customHeight="1">
      <c r="C454" s="88"/>
    </row>
    <row r="455" spans="3:3" ht="15.75" customHeight="1">
      <c r="C455" s="88"/>
    </row>
    <row r="456" spans="3:3" ht="15.75" customHeight="1">
      <c r="C456" s="88"/>
    </row>
    <row r="457" spans="3:3" ht="15.75" customHeight="1">
      <c r="C457" s="88"/>
    </row>
    <row r="458" spans="3:3" ht="15.75" customHeight="1">
      <c r="C458" s="88"/>
    </row>
    <row r="459" spans="3:3" ht="15.75" customHeight="1">
      <c r="C459" s="88"/>
    </row>
    <row r="460" spans="3:3" ht="15.75" customHeight="1">
      <c r="C460" s="88"/>
    </row>
    <row r="461" spans="3:3" ht="15.75" customHeight="1">
      <c r="C461" s="88"/>
    </row>
    <row r="462" spans="3:3" ht="15.75" customHeight="1">
      <c r="C462" s="88"/>
    </row>
    <row r="463" spans="3:3" ht="15.75" customHeight="1">
      <c r="C463" s="88"/>
    </row>
    <row r="464" spans="3:3" ht="15.75" customHeight="1">
      <c r="C464" s="88"/>
    </row>
    <row r="465" spans="3:3" ht="15.75" customHeight="1">
      <c r="C465" s="88"/>
    </row>
    <row r="466" spans="3:3" ht="15.75" customHeight="1">
      <c r="C466" s="88"/>
    </row>
    <row r="467" spans="3:3" ht="15.75" customHeight="1">
      <c r="C467" s="88"/>
    </row>
    <row r="468" spans="3:3" ht="15.75" customHeight="1">
      <c r="C468" s="88"/>
    </row>
    <row r="469" spans="3:3" ht="15.75" customHeight="1">
      <c r="C469" s="88"/>
    </row>
    <row r="470" spans="3:3" ht="15.75" customHeight="1">
      <c r="C470" s="88"/>
    </row>
    <row r="471" spans="3:3" ht="15.75" customHeight="1">
      <c r="C471" s="88"/>
    </row>
    <row r="472" spans="3:3" ht="15.75" customHeight="1">
      <c r="C472" s="88"/>
    </row>
    <row r="473" spans="3:3" ht="15.75" customHeight="1">
      <c r="C473" s="88"/>
    </row>
    <row r="474" spans="3:3" ht="15.75" customHeight="1">
      <c r="C474" s="88"/>
    </row>
    <row r="475" spans="3:3" ht="15.75" customHeight="1">
      <c r="C475" s="88"/>
    </row>
    <row r="476" spans="3:3" ht="15.75" customHeight="1">
      <c r="C476" s="88"/>
    </row>
    <row r="477" spans="3:3" ht="15.75" customHeight="1">
      <c r="C477" s="88"/>
    </row>
    <row r="478" spans="3:3" ht="15.75" customHeight="1">
      <c r="C478" s="88"/>
    </row>
    <row r="479" spans="3:3" ht="15.75" customHeight="1">
      <c r="C479" s="88"/>
    </row>
    <row r="480" spans="3:3" ht="15.75" customHeight="1">
      <c r="C480" s="88"/>
    </row>
    <row r="481" spans="3:3" ht="15.75" customHeight="1">
      <c r="C481" s="88"/>
    </row>
    <row r="482" spans="3:3" ht="15.75" customHeight="1">
      <c r="C482" s="88"/>
    </row>
    <row r="483" spans="3:3" ht="15.75" customHeight="1">
      <c r="C483" s="88"/>
    </row>
    <row r="484" spans="3:3" ht="15.75" customHeight="1">
      <c r="C484" s="88"/>
    </row>
    <row r="485" spans="3:3" ht="15.75" customHeight="1">
      <c r="C485" s="88"/>
    </row>
    <row r="486" spans="3:3" ht="15.75" customHeight="1">
      <c r="C486" s="88"/>
    </row>
    <row r="487" spans="3:3" ht="15.75" customHeight="1">
      <c r="C487" s="88"/>
    </row>
    <row r="488" spans="3:3" ht="15.75" customHeight="1">
      <c r="C488" s="88"/>
    </row>
    <row r="489" spans="3:3" ht="15.75" customHeight="1">
      <c r="C489" s="88"/>
    </row>
    <row r="490" spans="3:3" ht="15.75" customHeight="1">
      <c r="C490" s="88"/>
    </row>
    <row r="491" spans="3:3" ht="15.75" customHeight="1">
      <c r="C491" s="88"/>
    </row>
    <row r="492" spans="3:3" ht="15.75" customHeight="1">
      <c r="C492" s="88"/>
    </row>
    <row r="493" spans="3:3" ht="15.75" customHeight="1">
      <c r="C493" s="88"/>
    </row>
    <row r="494" spans="3:3" ht="15.75" customHeight="1">
      <c r="C494" s="88"/>
    </row>
    <row r="495" spans="3:3" ht="15.75" customHeight="1">
      <c r="C495" s="88"/>
    </row>
    <row r="496" spans="3:3" ht="15.75" customHeight="1">
      <c r="C496" s="88"/>
    </row>
    <row r="497" spans="3:3" ht="15.75" customHeight="1">
      <c r="C497" s="88"/>
    </row>
    <row r="498" spans="3:3" ht="15.75" customHeight="1">
      <c r="C498" s="88"/>
    </row>
    <row r="499" spans="3:3" ht="15.75" customHeight="1">
      <c r="C499" s="88"/>
    </row>
    <row r="500" spans="3:3" ht="15.75" customHeight="1">
      <c r="C500" s="88"/>
    </row>
    <row r="501" spans="3:3" ht="15.75" customHeight="1">
      <c r="C501" s="88"/>
    </row>
    <row r="502" spans="3:3" ht="15.75" customHeight="1">
      <c r="C502" s="88"/>
    </row>
    <row r="503" spans="3:3" ht="15.75" customHeight="1">
      <c r="C503" s="88"/>
    </row>
    <row r="504" spans="3:3" ht="15.75" customHeight="1">
      <c r="C504" s="88"/>
    </row>
    <row r="505" spans="3:3" ht="15.75" customHeight="1">
      <c r="C505" s="88"/>
    </row>
    <row r="506" spans="3:3" ht="15.75" customHeight="1">
      <c r="C506" s="88"/>
    </row>
    <row r="507" spans="3:3" ht="15.75" customHeight="1">
      <c r="C507" s="88"/>
    </row>
    <row r="508" spans="3:3" ht="15.75" customHeight="1">
      <c r="C508" s="88"/>
    </row>
    <row r="509" spans="3:3" ht="15.75" customHeight="1">
      <c r="C509" s="88"/>
    </row>
    <row r="510" spans="3:3" ht="15.75" customHeight="1">
      <c r="C510" s="88"/>
    </row>
    <row r="511" spans="3:3" ht="15.75" customHeight="1">
      <c r="C511" s="88"/>
    </row>
    <row r="512" spans="3:3" ht="15.75" customHeight="1">
      <c r="C512" s="88"/>
    </row>
    <row r="513" spans="3:3" ht="15.75" customHeight="1">
      <c r="C513" s="88"/>
    </row>
    <row r="514" spans="3:3" ht="15.75" customHeight="1">
      <c r="C514" s="88"/>
    </row>
    <row r="515" spans="3:3" ht="15.75" customHeight="1">
      <c r="C515" s="88"/>
    </row>
    <row r="516" spans="3:3" ht="15.75" customHeight="1">
      <c r="C516" s="88"/>
    </row>
    <row r="517" spans="3:3" ht="15.75" customHeight="1">
      <c r="C517" s="88"/>
    </row>
    <row r="518" spans="3:3" ht="15.75" customHeight="1">
      <c r="C518" s="88"/>
    </row>
    <row r="519" spans="3:3" ht="15.75" customHeight="1">
      <c r="C519" s="88"/>
    </row>
    <row r="520" spans="3:3" ht="15.75" customHeight="1">
      <c r="C520" s="88"/>
    </row>
    <row r="521" spans="3:3" ht="15.75" customHeight="1">
      <c r="C521" s="88"/>
    </row>
    <row r="522" spans="3:3" ht="15.75" customHeight="1">
      <c r="C522" s="88"/>
    </row>
    <row r="523" spans="3:3" ht="15.75" customHeight="1">
      <c r="C523" s="88"/>
    </row>
    <row r="524" spans="3:3" ht="15.75" customHeight="1">
      <c r="C524" s="88"/>
    </row>
    <row r="525" spans="3:3" ht="15.75" customHeight="1">
      <c r="C525" s="88"/>
    </row>
    <row r="526" spans="3:3" ht="15.75" customHeight="1">
      <c r="C526" s="88"/>
    </row>
    <row r="527" spans="3:3" ht="15.75" customHeight="1">
      <c r="C527" s="88"/>
    </row>
    <row r="528" spans="3:3" ht="15.75" customHeight="1">
      <c r="C528" s="88"/>
    </row>
    <row r="529" spans="3:3" ht="15.75" customHeight="1">
      <c r="C529" s="88"/>
    </row>
    <row r="530" spans="3:3" ht="15.75" customHeight="1">
      <c r="C530" s="88"/>
    </row>
    <row r="531" spans="3:3" ht="15.75" customHeight="1">
      <c r="C531" s="88"/>
    </row>
    <row r="532" spans="3:3" ht="15.75" customHeight="1">
      <c r="C532" s="88"/>
    </row>
    <row r="533" spans="3:3" ht="15.75" customHeight="1">
      <c r="C533" s="88"/>
    </row>
    <row r="534" spans="3:3" ht="15.75" customHeight="1">
      <c r="C534" s="88"/>
    </row>
    <row r="535" spans="3:3" ht="15.75" customHeight="1">
      <c r="C535" s="88"/>
    </row>
    <row r="536" spans="3:3" ht="15.75" customHeight="1">
      <c r="C536" s="88"/>
    </row>
    <row r="537" spans="3:3" ht="15.75" customHeight="1">
      <c r="C537" s="88"/>
    </row>
    <row r="538" spans="3:3" ht="15.75" customHeight="1">
      <c r="C538" s="88"/>
    </row>
    <row r="539" spans="3:3" ht="15.75" customHeight="1">
      <c r="C539" s="88"/>
    </row>
    <row r="540" spans="3:3" ht="15.75" customHeight="1">
      <c r="C540" s="88"/>
    </row>
    <row r="541" spans="3:3" ht="15.75" customHeight="1">
      <c r="C541" s="88"/>
    </row>
    <row r="542" spans="3:3" ht="15.75" customHeight="1">
      <c r="C542" s="88"/>
    </row>
    <row r="543" spans="3:3" ht="15.75" customHeight="1">
      <c r="C543" s="88"/>
    </row>
    <row r="544" spans="3:3" ht="15.75" customHeight="1">
      <c r="C544" s="88"/>
    </row>
    <row r="545" spans="3:3" ht="15.75" customHeight="1">
      <c r="C545" s="88"/>
    </row>
    <row r="546" spans="3:3" ht="15.75" customHeight="1">
      <c r="C546" s="88"/>
    </row>
    <row r="547" spans="3:3" ht="15.75" customHeight="1">
      <c r="C547" s="88"/>
    </row>
    <row r="548" spans="3:3" ht="15.75" customHeight="1">
      <c r="C548" s="88"/>
    </row>
    <row r="549" spans="3:3" ht="15.75" customHeight="1">
      <c r="C549" s="88"/>
    </row>
    <row r="550" spans="3:3" ht="15.75" customHeight="1">
      <c r="C550" s="88"/>
    </row>
    <row r="551" spans="3:3" ht="15.75" customHeight="1">
      <c r="C551" s="88"/>
    </row>
    <row r="552" spans="3:3" ht="15.75" customHeight="1">
      <c r="C552" s="88"/>
    </row>
    <row r="553" spans="3:3" ht="15.75" customHeight="1">
      <c r="C553" s="88"/>
    </row>
    <row r="554" spans="3:3" ht="15.75" customHeight="1">
      <c r="C554" s="88"/>
    </row>
    <row r="555" spans="3:3" ht="15.75" customHeight="1">
      <c r="C555" s="88"/>
    </row>
    <row r="556" spans="3:3" ht="15.75" customHeight="1">
      <c r="C556" s="88"/>
    </row>
    <row r="557" spans="3:3" ht="15.75" customHeight="1">
      <c r="C557" s="88"/>
    </row>
    <row r="558" spans="3:3" ht="15.75" customHeight="1">
      <c r="C558" s="88"/>
    </row>
    <row r="559" spans="3:3" ht="15.75" customHeight="1">
      <c r="C559" s="88"/>
    </row>
    <row r="560" spans="3:3" ht="15.75" customHeight="1">
      <c r="C560" s="88"/>
    </row>
    <row r="561" spans="3:3" ht="15.75" customHeight="1">
      <c r="C561" s="88"/>
    </row>
    <row r="562" spans="3:3" ht="15.75" customHeight="1">
      <c r="C562" s="88"/>
    </row>
    <row r="563" spans="3:3" ht="15.75" customHeight="1">
      <c r="C563" s="88"/>
    </row>
    <row r="564" spans="3:3" ht="15.75" customHeight="1">
      <c r="C564" s="88"/>
    </row>
    <row r="565" spans="3:3" ht="15.75" customHeight="1">
      <c r="C565" s="88"/>
    </row>
    <row r="566" spans="3:3" ht="15.75" customHeight="1">
      <c r="C566" s="88"/>
    </row>
    <row r="567" spans="3:3" ht="15.75" customHeight="1">
      <c r="C567" s="88"/>
    </row>
    <row r="568" spans="3:3" ht="15.75" customHeight="1">
      <c r="C568" s="88"/>
    </row>
    <row r="569" spans="3:3" ht="15.75" customHeight="1">
      <c r="C569" s="88"/>
    </row>
    <row r="570" spans="3:3" ht="15.75" customHeight="1">
      <c r="C570" s="88"/>
    </row>
    <row r="571" spans="3:3" ht="15.75" customHeight="1">
      <c r="C571" s="88"/>
    </row>
    <row r="572" spans="3:3" ht="15.75" customHeight="1">
      <c r="C572" s="88"/>
    </row>
    <row r="573" spans="3:3" ht="15.75" customHeight="1">
      <c r="C573" s="88"/>
    </row>
    <row r="574" spans="3:3" ht="15.75" customHeight="1">
      <c r="C574" s="88"/>
    </row>
    <row r="575" spans="3:3" ht="15.75" customHeight="1">
      <c r="C575" s="88"/>
    </row>
    <row r="576" spans="3:3" ht="15.75" customHeight="1">
      <c r="C576" s="88"/>
    </row>
    <row r="577" spans="3:3" ht="15.75" customHeight="1">
      <c r="C577" s="88"/>
    </row>
    <row r="578" spans="3:3" ht="15.75" customHeight="1">
      <c r="C578" s="88"/>
    </row>
    <row r="579" spans="3:3" ht="15.75" customHeight="1">
      <c r="C579" s="88"/>
    </row>
    <row r="580" spans="3:3" ht="15.75" customHeight="1">
      <c r="C580" s="88"/>
    </row>
    <row r="581" spans="3:3" ht="15.75" customHeight="1">
      <c r="C581" s="88"/>
    </row>
    <row r="582" spans="3:3" ht="15.75" customHeight="1">
      <c r="C582" s="88"/>
    </row>
    <row r="583" spans="3:3" ht="15.75" customHeight="1">
      <c r="C583" s="88"/>
    </row>
    <row r="584" spans="3:3" ht="15.75" customHeight="1">
      <c r="C584" s="88"/>
    </row>
    <row r="585" spans="3:3" ht="15.75" customHeight="1">
      <c r="C585" s="88"/>
    </row>
    <row r="586" spans="3:3" ht="15.75" customHeight="1">
      <c r="C586" s="88"/>
    </row>
    <row r="587" spans="3:3" ht="15.75" customHeight="1">
      <c r="C587" s="88"/>
    </row>
    <row r="588" spans="3:3" ht="15.75" customHeight="1">
      <c r="C588" s="88"/>
    </row>
    <row r="589" spans="3:3" ht="15.75" customHeight="1">
      <c r="C589" s="88"/>
    </row>
    <row r="590" spans="3:3" ht="15.75" customHeight="1">
      <c r="C590" s="88"/>
    </row>
    <row r="591" spans="3:3" ht="15.75" customHeight="1">
      <c r="C591" s="88"/>
    </row>
    <row r="592" spans="3:3" ht="15.75" customHeight="1">
      <c r="C592" s="88"/>
    </row>
    <row r="593" spans="3:3" ht="15.75" customHeight="1">
      <c r="C593" s="88"/>
    </row>
    <row r="594" spans="3:3" ht="15.75" customHeight="1">
      <c r="C594" s="88"/>
    </row>
    <row r="595" spans="3:3" ht="15.75" customHeight="1">
      <c r="C595" s="88"/>
    </row>
    <row r="596" spans="3:3" ht="15.75" customHeight="1">
      <c r="C596" s="88"/>
    </row>
    <row r="597" spans="3:3" ht="15.75" customHeight="1">
      <c r="C597" s="88"/>
    </row>
    <row r="598" spans="3:3" ht="15.75" customHeight="1">
      <c r="C598" s="88"/>
    </row>
    <row r="599" spans="3:3" ht="15.75" customHeight="1">
      <c r="C599" s="88"/>
    </row>
    <row r="600" spans="3:3" ht="15.75" customHeight="1">
      <c r="C600" s="88"/>
    </row>
    <row r="601" spans="3:3" ht="15.75" customHeight="1">
      <c r="C601" s="88"/>
    </row>
    <row r="602" spans="3:3" ht="15.75" customHeight="1">
      <c r="C602" s="88"/>
    </row>
    <row r="603" spans="3:3" ht="15.75" customHeight="1">
      <c r="C603" s="88"/>
    </row>
    <row r="604" spans="3:3" ht="15.75" customHeight="1">
      <c r="C604" s="88"/>
    </row>
    <row r="605" spans="3:3" ht="15.75" customHeight="1">
      <c r="C605" s="88"/>
    </row>
    <row r="606" spans="3:3" ht="15.75" customHeight="1">
      <c r="C606" s="88"/>
    </row>
    <row r="607" spans="3:3" ht="15.75" customHeight="1">
      <c r="C607" s="88"/>
    </row>
    <row r="608" spans="3:3" ht="15.75" customHeight="1">
      <c r="C608" s="88"/>
    </row>
    <row r="609" spans="3:3" ht="15.75" customHeight="1">
      <c r="C609" s="88"/>
    </row>
    <row r="610" spans="3:3" ht="15.75" customHeight="1">
      <c r="C610" s="88"/>
    </row>
    <row r="611" spans="3:3" ht="15.75" customHeight="1">
      <c r="C611" s="88"/>
    </row>
    <row r="612" spans="3:3" ht="15.75" customHeight="1">
      <c r="C612" s="88"/>
    </row>
    <row r="613" spans="3:3" ht="15.75" customHeight="1">
      <c r="C613" s="88"/>
    </row>
    <row r="614" spans="3:3" ht="15.75" customHeight="1">
      <c r="C614" s="88"/>
    </row>
    <row r="615" spans="3:3" ht="15.75" customHeight="1">
      <c r="C615" s="88"/>
    </row>
    <row r="616" spans="3:3" ht="15.75" customHeight="1">
      <c r="C616" s="88"/>
    </row>
    <row r="617" spans="3:3" ht="15.75" customHeight="1">
      <c r="C617" s="88"/>
    </row>
    <row r="618" spans="3:3" ht="15.75" customHeight="1">
      <c r="C618" s="88"/>
    </row>
    <row r="619" spans="3:3" ht="15.75" customHeight="1">
      <c r="C619" s="88"/>
    </row>
    <row r="620" spans="3:3" ht="15.75" customHeight="1">
      <c r="C620" s="88"/>
    </row>
    <row r="621" spans="3:3" ht="15.75" customHeight="1">
      <c r="C621" s="88"/>
    </row>
    <row r="622" spans="3:3" ht="15.75" customHeight="1">
      <c r="C622" s="88"/>
    </row>
    <row r="623" spans="3:3" ht="15.75" customHeight="1">
      <c r="C623" s="88"/>
    </row>
    <row r="624" spans="3:3" ht="15.75" customHeight="1">
      <c r="C624" s="88"/>
    </row>
    <row r="625" spans="3:3" ht="15.75" customHeight="1">
      <c r="C625" s="88"/>
    </row>
    <row r="626" spans="3:3" ht="15.75" customHeight="1">
      <c r="C626" s="88"/>
    </row>
    <row r="627" spans="3:3" ht="15.75" customHeight="1">
      <c r="C627" s="88"/>
    </row>
    <row r="628" spans="3:3" ht="15.75" customHeight="1">
      <c r="C628" s="88"/>
    </row>
    <row r="629" spans="3:3" ht="15.75" customHeight="1">
      <c r="C629" s="88"/>
    </row>
    <row r="630" spans="3:3" ht="15.75" customHeight="1">
      <c r="C630" s="88"/>
    </row>
    <row r="631" spans="3:3" ht="15.75" customHeight="1">
      <c r="C631" s="88"/>
    </row>
    <row r="632" spans="3:3" ht="15.75" customHeight="1">
      <c r="C632" s="88"/>
    </row>
    <row r="633" spans="3:3" ht="15.75" customHeight="1">
      <c r="C633" s="88"/>
    </row>
    <row r="634" spans="3:3" ht="15.75" customHeight="1">
      <c r="C634" s="88"/>
    </row>
    <row r="635" spans="3:3" ht="15.75" customHeight="1">
      <c r="C635" s="88"/>
    </row>
    <row r="636" spans="3:3" ht="15.75" customHeight="1">
      <c r="C636" s="88"/>
    </row>
    <row r="637" spans="3:3" ht="15.75" customHeight="1">
      <c r="C637" s="88"/>
    </row>
    <row r="638" spans="3:3" ht="15.75" customHeight="1">
      <c r="C638" s="88"/>
    </row>
    <row r="639" spans="3:3" ht="15.75" customHeight="1">
      <c r="C639" s="88"/>
    </row>
    <row r="640" spans="3:3" ht="15.75" customHeight="1">
      <c r="C640" s="88"/>
    </row>
    <row r="641" spans="3:3" ht="15.75" customHeight="1">
      <c r="C641" s="88"/>
    </row>
    <row r="642" spans="3:3" ht="15.75" customHeight="1">
      <c r="C642" s="88"/>
    </row>
    <row r="643" spans="3:3" ht="15.75" customHeight="1">
      <c r="C643" s="88"/>
    </row>
    <row r="644" spans="3:3" ht="15.75" customHeight="1">
      <c r="C644" s="88"/>
    </row>
    <row r="645" spans="3:3" ht="15.75" customHeight="1">
      <c r="C645" s="88"/>
    </row>
    <row r="646" spans="3:3" ht="15.75" customHeight="1">
      <c r="C646" s="88"/>
    </row>
    <row r="647" spans="3:3" ht="15.75" customHeight="1">
      <c r="C647" s="88"/>
    </row>
    <row r="648" spans="3:3" ht="15.75" customHeight="1">
      <c r="C648" s="88"/>
    </row>
    <row r="649" spans="3:3" ht="15.75" customHeight="1">
      <c r="C649" s="88"/>
    </row>
    <row r="650" spans="3:3" ht="15.75" customHeight="1">
      <c r="C650" s="88"/>
    </row>
    <row r="651" spans="3:3" ht="15.75" customHeight="1">
      <c r="C651" s="88"/>
    </row>
    <row r="652" spans="3:3" ht="15.75" customHeight="1">
      <c r="C652" s="88"/>
    </row>
    <row r="653" spans="3:3" ht="15.75" customHeight="1">
      <c r="C653" s="88"/>
    </row>
    <row r="654" spans="3:3" ht="15.75" customHeight="1">
      <c r="C654" s="88"/>
    </row>
    <row r="655" spans="3:3" ht="15.75" customHeight="1">
      <c r="C655" s="88"/>
    </row>
    <row r="656" spans="3:3" ht="15.75" customHeight="1">
      <c r="C656" s="88"/>
    </row>
    <row r="657" spans="3:3" ht="15.75" customHeight="1">
      <c r="C657" s="88"/>
    </row>
    <row r="658" spans="3:3" ht="15.75" customHeight="1">
      <c r="C658" s="88"/>
    </row>
    <row r="659" spans="3:3" ht="15.75" customHeight="1">
      <c r="C659" s="88"/>
    </row>
    <row r="660" spans="3:3" ht="15.75" customHeight="1">
      <c r="C660" s="88"/>
    </row>
    <row r="661" spans="3:3" ht="15.75" customHeight="1">
      <c r="C661" s="88"/>
    </row>
    <row r="662" spans="3:3" ht="15.75" customHeight="1">
      <c r="C662" s="88"/>
    </row>
    <row r="663" spans="3:3" ht="15.75" customHeight="1">
      <c r="C663" s="88"/>
    </row>
    <row r="664" spans="3:3" ht="15.75" customHeight="1">
      <c r="C664" s="88"/>
    </row>
    <row r="665" spans="3:3" ht="15.75" customHeight="1">
      <c r="C665" s="88"/>
    </row>
    <row r="666" spans="3:3" ht="15.75" customHeight="1">
      <c r="C666" s="88"/>
    </row>
    <row r="667" spans="3:3" ht="15.75" customHeight="1">
      <c r="C667" s="88"/>
    </row>
    <row r="668" spans="3:3" ht="15.75" customHeight="1">
      <c r="C668" s="88"/>
    </row>
    <row r="669" spans="3:3" ht="15.75" customHeight="1">
      <c r="C669" s="88"/>
    </row>
    <row r="670" spans="3:3" ht="15.75" customHeight="1">
      <c r="C670" s="88"/>
    </row>
    <row r="671" spans="3:3" ht="15.75" customHeight="1">
      <c r="C671" s="88"/>
    </row>
    <row r="672" spans="3:3" ht="15.75" customHeight="1">
      <c r="C672" s="88"/>
    </row>
    <row r="673" spans="3:3" ht="15.75" customHeight="1">
      <c r="C673" s="88"/>
    </row>
    <row r="674" spans="3:3" ht="15.75" customHeight="1">
      <c r="C674" s="88"/>
    </row>
    <row r="675" spans="3:3" ht="15.75" customHeight="1">
      <c r="C675" s="88"/>
    </row>
    <row r="676" spans="3:3" ht="15.75" customHeight="1">
      <c r="C676" s="88"/>
    </row>
    <row r="677" spans="3:3" ht="15.75" customHeight="1">
      <c r="C677" s="88"/>
    </row>
    <row r="678" spans="3:3" ht="15.75" customHeight="1">
      <c r="C678" s="88"/>
    </row>
    <row r="679" spans="3:3" ht="15.75" customHeight="1">
      <c r="C679" s="88"/>
    </row>
    <row r="680" spans="3:3" ht="15.75" customHeight="1">
      <c r="C680" s="88"/>
    </row>
    <row r="681" spans="3:3" ht="15.75" customHeight="1">
      <c r="C681" s="88"/>
    </row>
    <row r="682" spans="3:3" ht="15.75" customHeight="1">
      <c r="C682" s="88"/>
    </row>
    <row r="683" spans="3:3" ht="15.75" customHeight="1">
      <c r="C683" s="88"/>
    </row>
    <row r="684" spans="3:3" ht="15.75" customHeight="1">
      <c r="C684" s="88"/>
    </row>
    <row r="685" spans="3:3" ht="15.75" customHeight="1">
      <c r="C685" s="88"/>
    </row>
    <row r="686" spans="3:3" ht="15.75" customHeight="1">
      <c r="C686" s="88"/>
    </row>
    <row r="687" spans="3:3" ht="15.75" customHeight="1">
      <c r="C687" s="88"/>
    </row>
    <row r="688" spans="3:3" ht="15.75" customHeight="1">
      <c r="C688" s="88"/>
    </row>
    <row r="689" spans="3:3" ht="15.75" customHeight="1">
      <c r="C689" s="88"/>
    </row>
    <row r="690" spans="3:3" ht="15.75" customHeight="1">
      <c r="C690" s="88"/>
    </row>
    <row r="691" spans="3:3" ht="15.75" customHeight="1">
      <c r="C691" s="88"/>
    </row>
    <row r="692" spans="3:3" ht="15.75" customHeight="1">
      <c r="C692" s="88"/>
    </row>
    <row r="693" spans="3:3" ht="15.75" customHeight="1">
      <c r="C693" s="88"/>
    </row>
    <row r="694" spans="3:3" ht="15.75" customHeight="1">
      <c r="C694" s="88"/>
    </row>
    <row r="695" spans="3:3" ht="15.75" customHeight="1">
      <c r="C695" s="88"/>
    </row>
    <row r="696" spans="3:3" ht="15.75" customHeight="1">
      <c r="C696" s="88"/>
    </row>
    <row r="697" spans="3:3" ht="15.75" customHeight="1">
      <c r="C697" s="88"/>
    </row>
    <row r="698" spans="3:3" ht="15.75" customHeight="1">
      <c r="C698" s="88"/>
    </row>
    <row r="699" spans="3:3" ht="15.75" customHeight="1">
      <c r="C699" s="88"/>
    </row>
    <row r="700" spans="3:3" ht="15.75" customHeight="1">
      <c r="C700" s="88"/>
    </row>
    <row r="701" spans="3:3" ht="15.75" customHeight="1">
      <c r="C701" s="88"/>
    </row>
    <row r="702" spans="3:3" ht="15.75" customHeight="1">
      <c r="C702" s="88"/>
    </row>
    <row r="703" spans="3:3" ht="15.75" customHeight="1">
      <c r="C703" s="88"/>
    </row>
    <row r="704" spans="3:3" ht="15.75" customHeight="1">
      <c r="C704" s="88"/>
    </row>
    <row r="705" spans="3:3" ht="15.75" customHeight="1">
      <c r="C705" s="88"/>
    </row>
    <row r="706" spans="3:3" ht="15.75" customHeight="1">
      <c r="C706" s="88"/>
    </row>
    <row r="707" spans="3:3" ht="15.75" customHeight="1">
      <c r="C707" s="88"/>
    </row>
    <row r="708" spans="3:3" ht="15.75" customHeight="1">
      <c r="C708" s="88"/>
    </row>
    <row r="709" spans="3:3" ht="15.75" customHeight="1">
      <c r="C709" s="88"/>
    </row>
    <row r="710" spans="3:3" ht="15.75" customHeight="1">
      <c r="C710" s="88"/>
    </row>
    <row r="711" spans="3:3" ht="15.75" customHeight="1">
      <c r="C711" s="88"/>
    </row>
    <row r="712" spans="3:3" ht="15.75" customHeight="1">
      <c r="C712" s="88"/>
    </row>
    <row r="713" spans="3:3" ht="15.75" customHeight="1">
      <c r="C713" s="88"/>
    </row>
    <row r="714" spans="3:3" ht="15.75" customHeight="1">
      <c r="C714" s="88"/>
    </row>
    <row r="715" spans="3:3" ht="15.75" customHeight="1">
      <c r="C715" s="88"/>
    </row>
    <row r="716" spans="3:3" ht="15.75" customHeight="1">
      <c r="C716" s="88"/>
    </row>
    <row r="717" spans="3:3" ht="15.75" customHeight="1">
      <c r="C717" s="88"/>
    </row>
    <row r="718" spans="3:3" ht="15.75" customHeight="1">
      <c r="C718" s="88"/>
    </row>
    <row r="719" spans="3:3" ht="15.75" customHeight="1">
      <c r="C719" s="88"/>
    </row>
    <row r="720" spans="3:3" ht="15.75" customHeight="1">
      <c r="C720" s="88"/>
    </row>
    <row r="721" spans="3:3" ht="15.75" customHeight="1">
      <c r="C721" s="88"/>
    </row>
    <row r="722" spans="3:3" ht="15.75" customHeight="1">
      <c r="C722" s="88"/>
    </row>
    <row r="723" spans="3:3" ht="15.75" customHeight="1">
      <c r="C723" s="88"/>
    </row>
    <row r="724" spans="3:3" ht="15.75" customHeight="1">
      <c r="C724" s="88"/>
    </row>
    <row r="725" spans="3:3" ht="15.75" customHeight="1">
      <c r="C725" s="88"/>
    </row>
    <row r="726" spans="3:3" ht="15.75" customHeight="1">
      <c r="C726" s="88"/>
    </row>
    <row r="727" spans="3:3" ht="15.75" customHeight="1">
      <c r="C727" s="88"/>
    </row>
    <row r="728" spans="3:3" ht="15.75" customHeight="1">
      <c r="C728" s="88"/>
    </row>
    <row r="729" spans="3:3" ht="15.75" customHeight="1">
      <c r="C729" s="88"/>
    </row>
    <row r="730" spans="3:3" ht="15.75" customHeight="1">
      <c r="C730" s="88"/>
    </row>
    <row r="731" spans="3:3" ht="15.75" customHeight="1">
      <c r="C731" s="88"/>
    </row>
    <row r="732" spans="3:3" ht="15.75" customHeight="1">
      <c r="C732" s="88"/>
    </row>
    <row r="733" spans="3:3" ht="15.75" customHeight="1">
      <c r="C733" s="88"/>
    </row>
    <row r="734" spans="3:3" ht="15.75" customHeight="1">
      <c r="C734" s="88"/>
    </row>
    <row r="735" spans="3:3" ht="15.75" customHeight="1">
      <c r="C735" s="88"/>
    </row>
    <row r="736" spans="3:3" ht="15.75" customHeight="1">
      <c r="C736" s="88"/>
    </row>
    <row r="737" spans="3:3" ht="15.75" customHeight="1">
      <c r="C737" s="88"/>
    </row>
    <row r="738" spans="3:3" ht="15.75" customHeight="1">
      <c r="C738" s="88"/>
    </row>
    <row r="739" spans="3:3" ht="15.75" customHeight="1">
      <c r="C739" s="88"/>
    </row>
    <row r="740" spans="3:3" ht="15.75" customHeight="1">
      <c r="C740" s="88"/>
    </row>
    <row r="741" spans="3:3" ht="15.75" customHeight="1">
      <c r="C741" s="88"/>
    </row>
    <row r="742" spans="3:3" ht="15.75" customHeight="1">
      <c r="C742" s="88"/>
    </row>
    <row r="743" spans="3:3" ht="15.75" customHeight="1">
      <c r="C743" s="88"/>
    </row>
    <row r="744" spans="3:3" ht="15.75" customHeight="1">
      <c r="C744" s="88"/>
    </row>
    <row r="745" spans="3:3" ht="15.75" customHeight="1">
      <c r="C745" s="88"/>
    </row>
    <row r="746" spans="3:3" ht="15.75" customHeight="1">
      <c r="C746" s="88"/>
    </row>
    <row r="747" spans="3:3" ht="15.75" customHeight="1">
      <c r="C747" s="88"/>
    </row>
    <row r="748" spans="3:3" ht="15.75" customHeight="1">
      <c r="C748" s="88"/>
    </row>
    <row r="749" spans="3:3" ht="15.75" customHeight="1">
      <c r="C749" s="88"/>
    </row>
    <row r="750" spans="3:3" ht="15.75" customHeight="1">
      <c r="C750" s="88"/>
    </row>
    <row r="751" spans="3:3" ht="15.75" customHeight="1">
      <c r="C751" s="88"/>
    </row>
    <row r="752" spans="3:3" ht="15.75" customHeight="1">
      <c r="C752" s="88"/>
    </row>
    <row r="753" spans="3:3" ht="15.75" customHeight="1">
      <c r="C753" s="88"/>
    </row>
    <row r="754" spans="3:3" ht="15.75" customHeight="1">
      <c r="C754" s="88"/>
    </row>
    <row r="755" spans="3:3" ht="15.75" customHeight="1">
      <c r="C755" s="88"/>
    </row>
    <row r="756" spans="3:3" ht="15.75" customHeight="1">
      <c r="C756" s="88"/>
    </row>
    <row r="757" spans="3:3" ht="15.75" customHeight="1">
      <c r="C757" s="88"/>
    </row>
    <row r="758" spans="3:3" ht="15.75" customHeight="1">
      <c r="C758" s="88"/>
    </row>
    <row r="759" spans="3:3" ht="15.75" customHeight="1">
      <c r="C759" s="88"/>
    </row>
    <row r="760" spans="3:3" ht="15.75" customHeight="1">
      <c r="C760" s="88"/>
    </row>
    <row r="761" spans="3:3" ht="15.75" customHeight="1">
      <c r="C761" s="88"/>
    </row>
    <row r="762" spans="3:3" ht="15.75" customHeight="1">
      <c r="C762" s="88"/>
    </row>
    <row r="763" spans="3:3" ht="15.75" customHeight="1">
      <c r="C763" s="88"/>
    </row>
    <row r="764" spans="3:3" ht="15.75" customHeight="1">
      <c r="C764" s="88"/>
    </row>
    <row r="765" spans="3:3" ht="15.75" customHeight="1">
      <c r="C765" s="88"/>
    </row>
    <row r="766" spans="3:3" ht="15.75" customHeight="1">
      <c r="C766" s="88"/>
    </row>
    <row r="767" spans="3:3" ht="15.75" customHeight="1">
      <c r="C767" s="88"/>
    </row>
    <row r="768" spans="3:3" ht="15.75" customHeight="1">
      <c r="C768" s="88"/>
    </row>
    <row r="769" spans="3:3" ht="15.75" customHeight="1">
      <c r="C769" s="88"/>
    </row>
    <row r="770" spans="3:3" ht="15.75" customHeight="1">
      <c r="C770" s="88"/>
    </row>
    <row r="771" spans="3:3" ht="15.75" customHeight="1">
      <c r="C771" s="88"/>
    </row>
    <row r="772" spans="3:3" ht="15.75" customHeight="1">
      <c r="C772" s="88"/>
    </row>
    <row r="773" spans="3:3" ht="15.75" customHeight="1">
      <c r="C773" s="88"/>
    </row>
    <row r="774" spans="3:3" ht="15.75" customHeight="1">
      <c r="C774" s="88"/>
    </row>
    <row r="775" spans="3:3" ht="15.75" customHeight="1">
      <c r="C775" s="88"/>
    </row>
    <row r="776" spans="3:3" ht="15.75" customHeight="1">
      <c r="C776" s="88"/>
    </row>
    <row r="777" spans="3:3" ht="15.75" customHeight="1">
      <c r="C777" s="88"/>
    </row>
    <row r="778" spans="3:3" ht="15.75" customHeight="1">
      <c r="C778" s="88"/>
    </row>
    <row r="779" spans="3:3" ht="15.75" customHeight="1">
      <c r="C779" s="88"/>
    </row>
    <row r="780" spans="3:3" ht="15.75" customHeight="1">
      <c r="C780" s="88"/>
    </row>
    <row r="781" spans="3:3" ht="15.75" customHeight="1">
      <c r="C781" s="88"/>
    </row>
    <row r="782" spans="3:3" ht="15.75" customHeight="1">
      <c r="C782" s="88"/>
    </row>
    <row r="783" spans="3:3" ht="15.75" customHeight="1">
      <c r="C783" s="88"/>
    </row>
    <row r="784" spans="3:3" ht="15.75" customHeight="1">
      <c r="C784" s="88"/>
    </row>
    <row r="785" spans="3:3" ht="15.75" customHeight="1">
      <c r="C785" s="88"/>
    </row>
    <row r="786" spans="3:3" ht="15.75" customHeight="1">
      <c r="C786" s="88"/>
    </row>
    <row r="787" spans="3:3" ht="15.75" customHeight="1">
      <c r="C787" s="88"/>
    </row>
    <row r="788" spans="3:3" ht="15.75" customHeight="1">
      <c r="C788" s="88"/>
    </row>
    <row r="789" spans="3:3" ht="15.75" customHeight="1">
      <c r="C789" s="88"/>
    </row>
    <row r="790" spans="3:3" ht="15.75" customHeight="1">
      <c r="C790" s="88"/>
    </row>
    <row r="791" spans="3:3" ht="15.75" customHeight="1">
      <c r="C791" s="88"/>
    </row>
    <row r="792" spans="3:3" ht="15.75" customHeight="1">
      <c r="C792" s="88"/>
    </row>
    <row r="793" spans="3:3" ht="15.75" customHeight="1">
      <c r="C793" s="88"/>
    </row>
    <row r="794" spans="3:3" ht="15.75" customHeight="1">
      <c r="C794" s="88"/>
    </row>
    <row r="795" spans="3:3" ht="15.75" customHeight="1">
      <c r="C795" s="88"/>
    </row>
    <row r="796" spans="3:3" ht="15.75" customHeight="1">
      <c r="C796" s="88"/>
    </row>
    <row r="797" spans="3:3" ht="15.75" customHeight="1">
      <c r="C797" s="88"/>
    </row>
    <row r="798" spans="3:3" ht="15.75" customHeight="1">
      <c r="C798" s="88"/>
    </row>
    <row r="799" spans="3:3" ht="15.75" customHeight="1">
      <c r="C799" s="88"/>
    </row>
    <row r="800" spans="3:3" ht="15.75" customHeight="1">
      <c r="C800" s="88"/>
    </row>
    <row r="801" spans="3:3" ht="15.75" customHeight="1">
      <c r="C801" s="88"/>
    </row>
    <row r="802" spans="3:3" ht="15.75" customHeight="1">
      <c r="C802" s="88"/>
    </row>
    <row r="803" spans="3:3" ht="15.75" customHeight="1">
      <c r="C803" s="88"/>
    </row>
    <row r="804" spans="3:3" ht="15.75" customHeight="1">
      <c r="C804" s="88"/>
    </row>
    <row r="805" spans="3:3" ht="15.75" customHeight="1">
      <c r="C805" s="88"/>
    </row>
    <row r="806" spans="3:3" ht="15.75" customHeight="1">
      <c r="C806" s="88"/>
    </row>
    <row r="807" spans="3:3" ht="15.75" customHeight="1">
      <c r="C807" s="88"/>
    </row>
    <row r="808" spans="3:3" ht="15.75" customHeight="1">
      <c r="C808" s="88"/>
    </row>
    <row r="809" spans="3:3" ht="15.75" customHeight="1">
      <c r="C809" s="88"/>
    </row>
    <row r="810" spans="3:3" ht="15.75" customHeight="1">
      <c r="C810" s="88"/>
    </row>
    <row r="811" spans="3:3" ht="15.75" customHeight="1">
      <c r="C811" s="88"/>
    </row>
    <row r="812" spans="3:3" ht="15.75" customHeight="1">
      <c r="C812" s="88"/>
    </row>
    <row r="813" spans="3:3" ht="15.75" customHeight="1">
      <c r="C813" s="88"/>
    </row>
    <row r="814" spans="3:3" ht="15.75" customHeight="1">
      <c r="C814" s="88"/>
    </row>
    <row r="815" spans="3:3" ht="15.75" customHeight="1">
      <c r="C815" s="88"/>
    </row>
    <row r="816" spans="3:3" ht="15.75" customHeight="1">
      <c r="C816" s="88"/>
    </row>
    <row r="817" spans="3:3" ht="15.75" customHeight="1">
      <c r="C817" s="88"/>
    </row>
    <row r="818" spans="3:3" ht="15.75" customHeight="1">
      <c r="C818" s="88"/>
    </row>
    <row r="819" spans="3:3" ht="15.75" customHeight="1">
      <c r="C819" s="88"/>
    </row>
    <row r="820" spans="3:3" ht="15.75" customHeight="1">
      <c r="C820" s="88"/>
    </row>
    <row r="821" spans="3:3" ht="15.75" customHeight="1">
      <c r="C821" s="88"/>
    </row>
    <row r="822" spans="3:3" ht="15.75" customHeight="1">
      <c r="C822" s="88"/>
    </row>
    <row r="823" spans="3:3" ht="15.75" customHeight="1">
      <c r="C823" s="88"/>
    </row>
    <row r="824" spans="3:3" ht="15.75" customHeight="1">
      <c r="C824" s="88"/>
    </row>
    <row r="825" spans="3:3" ht="15.75" customHeight="1">
      <c r="C825" s="88"/>
    </row>
    <row r="826" spans="3:3" ht="15.75" customHeight="1">
      <c r="C826" s="88"/>
    </row>
    <row r="827" spans="3:3" ht="15.75" customHeight="1">
      <c r="C827" s="88"/>
    </row>
    <row r="828" spans="3:3" ht="15.75" customHeight="1">
      <c r="C828" s="88"/>
    </row>
    <row r="829" spans="3:3" ht="15.75" customHeight="1">
      <c r="C829" s="88"/>
    </row>
    <row r="830" spans="3:3" ht="15.75" customHeight="1">
      <c r="C830" s="88"/>
    </row>
    <row r="831" spans="3:3" ht="15.75" customHeight="1">
      <c r="C831" s="88"/>
    </row>
    <row r="832" spans="3:3" ht="15.75" customHeight="1">
      <c r="C832" s="88"/>
    </row>
    <row r="833" spans="3:3" ht="15.75" customHeight="1">
      <c r="C833" s="88"/>
    </row>
    <row r="834" spans="3:3" ht="15.75" customHeight="1">
      <c r="C834" s="88"/>
    </row>
    <row r="835" spans="3:3" ht="15.75" customHeight="1">
      <c r="C835" s="88"/>
    </row>
    <row r="836" spans="3:3" ht="15.75" customHeight="1">
      <c r="C836" s="88"/>
    </row>
    <row r="837" spans="3:3" ht="15.75" customHeight="1">
      <c r="C837" s="88"/>
    </row>
    <row r="838" spans="3:3" ht="15.75" customHeight="1">
      <c r="C838" s="88"/>
    </row>
    <row r="839" spans="3:3" ht="15.75" customHeight="1">
      <c r="C839" s="88"/>
    </row>
    <row r="840" spans="3:3" ht="15.75" customHeight="1">
      <c r="C840" s="88"/>
    </row>
    <row r="841" spans="3:3" ht="15.75" customHeight="1">
      <c r="C841" s="88"/>
    </row>
    <row r="842" spans="3:3" ht="15.75" customHeight="1">
      <c r="C842" s="88"/>
    </row>
    <row r="843" spans="3:3" ht="15.75" customHeight="1">
      <c r="C843" s="88"/>
    </row>
    <row r="844" spans="3:3" ht="15.75" customHeight="1">
      <c r="C844" s="88"/>
    </row>
    <row r="845" spans="3:3" ht="15.75" customHeight="1">
      <c r="C845" s="88"/>
    </row>
    <row r="846" spans="3:3" ht="15.75" customHeight="1">
      <c r="C846" s="88"/>
    </row>
    <row r="847" spans="3:3" ht="15.75" customHeight="1">
      <c r="C847" s="88"/>
    </row>
    <row r="848" spans="3:3" ht="15.75" customHeight="1">
      <c r="C848" s="88"/>
    </row>
    <row r="849" spans="3:3" ht="15.75" customHeight="1">
      <c r="C849" s="88"/>
    </row>
    <row r="850" spans="3:3" ht="15.75" customHeight="1">
      <c r="C850" s="88"/>
    </row>
    <row r="851" spans="3:3" ht="15.75" customHeight="1">
      <c r="C851" s="88"/>
    </row>
    <row r="852" spans="3:3" ht="15.75" customHeight="1">
      <c r="C852" s="88"/>
    </row>
    <row r="853" spans="3:3" ht="15.75" customHeight="1">
      <c r="C853" s="88"/>
    </row>
    <row r="854" spans="3:3" ht="15.75" customHeight="1">
      <c r="C854" s="88"/>
    </row>
    <row r="855" spans="3:3" ht="15.75" customHeight="1">
      <c r="C855" s="88"/>
    </row>
    <row r="856" spans="3:3" ht="15.75" customHeight="1">
      <c r="C856" s="88"/>
    </row>
    <row r="857" spans="3:3" ht="15.75" customHeight="1">
      <c r="C857" s="88"/>
    </row>
    <row r="858" spans="3:3" ht="15.75" customHeight="1">
      <c r="C858" s="88"/>
    </row>
    <row r="859" spans="3:3" ht="15.75" customHeight="1">
      <c r="C859" s="88"/>
    </row>
    <row r="860" spans="3:3" ht="15.75" customHeight="1">
      <c r="C860" s="88"/>
    </row>
    <row r="861" spans="3:3" ht="15.75" customHeight="1">
      <c r="C861" s="88"/>
    </row>
    <row r="862" spans="3:3" ht="15.75" customHeight="1">
      <c r="C862" s="88"/>
    </row>
    <row r="863" spans="3:3" ht="15.75" customHeight="1">
      <c r="C863" s="88"/>
    </row>
    <row r="864" spans="3:3" ht="15.75" customHeight="1">
      <c r="C864" s="88"/>
    </row>
    <row r="865" spans="3:3" ht="15.75" customHeight="1">
      <c r="C865" s="88"/>
    </row>
    <row r="866" spans="3:3" ht="15.75" customHeight="1">
      <c r="C866" s="88"/>
    </row>
    <row r="867" spans="3:3" ht="15.75" customHeight="1">
      <c r="C867" s="88"/>
    </row>
    <row r="868" spans="3:3" ht="15.75" customHeight="1">
      <c r="C868" s="88"/>
    </row>
    <row r="869" spans="3:3" ht="15.75" customHeight="1">
      <c r="C869" s="88"/>
    </row>
    <row r="870" spans="3:3" ht="15.75" customHeight="1">
      <c r="C870" s="88"/>
    </row>
    <row r="871" spans="3:3" ht="15.75" customHeight="1">
      <c r="C871" s="88"/>
    </row>
    <row r="872" spans="3:3" ht="15.75" customHeight="1">
      <c r="C872" s="88"/>
    </row>
    <row r="873" spans="3:3" ht="15.75" customHeight="1">
      <c r="C873" s="88"/>
    </row>
    <row r="874" spans="3:3" ht="15.75" customHeight="1">
      <c r="C874" s="88"/>
    </row>
    <row r="875" spans="3:3" ht="15.75" customHeight="1">
      <c r="C875" s="88"/>
    </row>
    <row r="876" spans="3:3" ht="15.75" customHeight="1">
      <c r="C876" s="88"/>
    </row>
    <row r="877" spans="3:3" ht="15.75" customHeight="1">
      <c r="C877" s="88"/>
    </row>
    <row r="878" spans="3:3" ht="15.75" customHeight="1">
      <c r="C878" s="88"/>
    </row>
    <row r="879" spans="3:3" ht="15.75" customHeight="1">
      <c r="C879" s="88"/>
    </row>
    <row r="880" spans="3:3" ht="15.75" customHeight="1">
      <c r="C880" s="88"/>
    </row>
    <row r="881" spans="3:3" ht="15.75" customHeight="1">
      <c r="C881" s="88"/>
    </row>
    <row r="882" spans="3:3" ht="15.75" customHeight="1">
      <c r="C882" s="88"/>
    </row>
    <row r="883" spans="3:3" ht="15.75" customHeight="1">
      <c r="C883" s="88"/>
    </row>
    <row r="884" spans="3:3" ht="15.75" customHeight="1">
      <c r="C884" s="88"/>
    </row>
    <row r="885" spans="3:3" ht="15.75" customHeight="1">
      <c r="C885" s="88"/>
    </row>
    <row r="886" spans="3:3" ht="15.75" customHeight="1">
      <c r="C886" s="88"/>
    </row>
    <row r="887" spans="3:3" ht="15.75" customHeight="1">
      <c r="C887" s="88"/>
    </row>
    <row r="888" spans="3:3" ht="15.75" customHeight="1">
      <c r="C888" s="88"/>
    </row>
    <row r="889" spans="3:3" ht="15.75" customHeight="1">
      <c r="C889" s="88"/>
    </row>
    <row r="890" spans="3:3" ht="15.75" customHeight="1">
      <c r="C890" s="88"/>
    </row>
    <row r="891" spans="3:3" ht="15.75" customHeight="1">
      <c r="C891" s="88"/>
    </row>
    <row r="892" spans="3:3" ht="15.75" customHeight="1">
      <c r="C892" s="88"/>
    </row>
    <row r="893" spans="3:3" ht="15.75" customHeight="1">
      <c r="C893" s="88"/>
    </row>
    <row r="894" spans="3:3" ht="15.75" customHeight="1">
      <c r="C894" s="88"/>
    </row>
    <row r="895" spans="3:3" ht="15.75" customHeight="1">
      <c r="C895" s="88"/>
    </row>
    <row r="896" spans="3:3" ht="15.75" customHeight="1">
      <c r="C896" s="88"/>
    </row>
    <row r="897" spans="3:3" ht="15.75" customHeight="1">
      <c r="C897" s="88"/>
    </row>
    <row r="898" spans="3:3" ht="15.75" customHeight="1">
      <c r="C898" s="88"/>
    </row>
    <row r="899" spans="3:3" ht="15.75" customHeight="1">
      <c r="C899" s="88"/>
    </row>
    <row r="900" spans="3:3" ht="15.75" customHeight="1">
      <c r="C900" s="88"/>
    </row>
    <row r="901" spans="3:3" ht="15.75" customHeight="1">
      <c r="C901" s="88"/>
    </row>
    <row r="902" spans="3:3" ht="15.75" customHeight="1">
      <c r="C902" s="88"/>
    </row>
    <row r="903" spans="3:3" ht="15.75" customHeight="1">
      <c r="C903" s="88"/>
    </row>
    <row r="904" spans="3:3" ht="15.75" customHeight="1">
      <c r="C904" s="88"/>
    </row>
    <row r="905" spans="3:3" ht="15.75" customHeight="1">
      <c r="C905" s="88"/>
    </row>
    <row r="906" spans="3:3" ht="15.75" customHeight="1">
      <c r="C906" s="88"/>
    </row>
    <row r="907" spans="3:3" ht="15.75" customHeight="1">
      <c r="C907" s="88"/>
    </row>
    <row r="908" spans="3:3" ht="15.75" customHeight="1">
      <c r="C908" s="88"/>
    </row>
    <row r="909" spans="3:3" ht="15.75" customHeight="1">
      <c r="C909" s="88"/>
    </row>
    <row r="910" spans="3:3" ht="15.75" customHeight="1">
      <c r="C910" s="88"/>
    </row>
    <row r="911" spans="3:3" ht="15.75" customHeight="1">
      <c r="C911" s="88"/>
    </row>
    <row r="912" spans="3:3" ht="15.75" customHeight="1">
      <c r="C912" s="88"/>
    </row>
    <row r="913" spans="3:3" ht="15.75" customHeight="1">
      <c r="C913" s="88"/>
    </row>
    <row r="914" spans="3:3" ht="15.75" customHeight="1">
      <c r="C914" s="88"/>
    </row>
    <row r="915" spans="3:3" ht="15.75" customHeight="1">
      <c r="C915" s="88"/>
    </row>
    <row r="916" spans="3:3" ht="15.75" customHeight="1">
      <c r="C916" s="88"/>
    </row>
    <row r="917" spans="3:3" ht="15.75" customHeight="1">
      <c r="C917" s="88"/>
    </row>
    <row r="918" spans="3:3" ht="15.75" customHeight="1">
      <c r="C918" s="88"/>
    </row>
    <row r="919" spans="3:3" ht="15.75" customHeight="1">
      <c r="C919" s="88"/>
    </row>
    <row r="920" spans="3:3" ht="15.75" customHeight="1">
      <c r="C920" s="88"/>
    </row>
    <row r="921" spans="3:3" ht="15.75" customHeight="1">
      <c r="C921" s="88"/>
    </row>
    <row r="922" spans="3:3" ht="15.75" customHeight="1">
      <c r="C922" s="88"/>
    </row>
    <row r="923" spans="3:3" ht="15.75" customHeight="1">
      <c r="C923" s="88"/>
    </row>
    <row r="924" spans="3:3" ht="15.75" customHeight="1">
      <c r="C924" s="88"/>
    </row>
    <row r="925" spans="3:3" ht="15.75" customHeight="1">
      <c r="C925" s="88"/>
    </row>
    <row r="926" spans="3:3" ht="15.75" customHeight="1">
      <c r="C926" s="88"/>
    </row>
    <row r="927" spans="3:3" ht="15.75" customHeight="1">
      <c r="C927" s="88"/>
    </row>
    <row r="928" spans="3:3" ht="15.75" customHeight="1">
      <c r="C928" s="88"/>
    </row>
    <row r="929" spans="3:3" ht="15.75" customHeight="1">
      <c r="C929" s="88"/>
    </row>
    <row r="930" spans="3:3" ht="15.75" customHeight="1">
      <c r="C930" s="88"/>
    </row>
    <row r="931" spans="3:3" ht="15.75" customHeight="1">
      <c r="C931" s="88"/>
    </row>
    <row r="932" spans="3:3" ht="15.75" customHeight="1">
      <c r="C932" s="88"/>
    </row>
    <row r="933" spans="3:3" ht="15.75" customHeight="1">
      <c r="C933" s="88"/>
    </row>
    <row r="934" spans="3:3" ht="15.75" customHeight="1">
      <c r="C934" s="88"/>
    </row>
    <row r="935" spans="3:3" ht="15.75" customHeight="1">
      <c r="C935" s="88"/>
    </row>
    <row r="936" spans="3:3" ht="15.75" customHeight="1">
      <c r="C936" s="88"/>
    </row>
    <row r="937" spans="3:3" ht="15.75" customHeight="1">
      <c r="C937" s="88"/>
    </row>
    <row r="938" spans="3:3" ht="15.75" customHeight="1">
      <c r="C938" s="88"/>
    </row>
    <row r="939" spans="3:3" ht="15.75" customHeight="1">
      <c r="C939" s="88"/>
    </row>
    <row r="940" spans="3:3" ht="15.75" customHeight="1">
      <c r="C940" s="88"/>
    </row>
    <row r="941" spans="3:3" ht="15.75" customHeight="1">
      <c r="C941" s="88"/>
    </row>
    <row r="942" spans="3:3" ht="15.75" customHeight="1">
      <c r="C942" s="88"/>
    </row>
    <row r="943" spans="3:3" ht="15.75" customHeight="1">
      <c r="C943" s="88"/>
    </row>
    <row r="944" spans="3:3" ht="15.75" customHeight="1">
      <c r="C944" s="88"/>
    </row>
    <row r="945" spans="3:3" ht="15.75" customHeight="1">
      <c r="C945" s="88"/>
    </row>
    <row r="946" spans="3:3" ht="15.75" customHeight="1">
      <c r="C946" s="88"/>
    </row>
    <row r="947" spans="3:3" ht="15.75" customHeight="1">
      <c r="C947" s="88"/>
    </row>
    <row r="948" spans="3:3" ht="15.75" customHeight="1">
      <c r="C948" s="88"/>
    </row>
    <row r="949" spans="3:3" ht="15.75" customHeight="1">
      <c r="C949" s="88"/>
    </row>
    <row r="950" spans="3:3" ht="15.75" customHeight="1">
      <c r="C950" s="88"/>
    </row>
    <row r="951" spans="3:3" ht="15.75" customHeight="1">
      <c r="C951" s="88"/>
    </row>
    <row r="952" spans="3:3" ht="15.75" customHeight="1">
      <c r="C952" s="88"/>
    </row>
    <row r="953" spans="3:3" ht="15.75" customHeight="1">
      <c r="C953" s="88"/>
    </row>
    <row r="954" spans="3:3" ht="15.75" customHeight="1">
      <c r="C954" s="88"/>
    </row>
    <row r="955" spans="3:3" ht="15.75" customHeight="1">
      <c r="C955" s="88"/>
    </row>
    <row r="956" spans="3:3" ht="15.75" customHeight="1">
      <c r="C956" s="88"/>
    </row>
    <row r="957" spans="3:3" ht="15.75" customHeight="1">
      <c r="C957" s="88"/>
    </row>
    <row r="958" spans="3:3" ht="15.75" customHeight="1">
      <c r="C958" s="88"/>
    </row>
    <row r="959" spans="3:3" ht="15.75" customHeight="1">
      <c r="C959" s="88"/>
    </row>
    <row r="960" spans="3:3" ht="15.75" customHeight="1">
      <c r="C960" s="88"/>
    </row>
    <row r="961" spans="3:3" ht="15.75" customHeight="1">
      <c r="C961" s="88"/>
    </row>
    <row r="962" spans="3:3" ht="15.75" customHeight="1">
      <c r="C962" s="88"/>
    </row>
    <row r="963" spans="3:3" ht="15.75" customHeight="1">
      <c r="C963" s="88"/>
    </row>
    <row r="964" spans="3:3" ht="15.75" customHeight="1">
      <c r="C964" s="88"/>
    </row>
    <row r="965" spans="3:3" ht="15.75" customHeight="1">
      <c r="C965" s="88"/>
    </row>
    <row r="966" spans="3:3" ht="15.75" customHeight="1">
      <c r="C966" s="88"/>
    </row>
    <row r="967" spans="3:3" ht="15.75" customHeight="1">
      <c r="C967" s="88"/>
    </row>
    <row r="968" spans="3:3" ht="15.75" customHeight="1">
      <c r="C968" s="88"/>
    </row>
    <row r="969" spans="3:3" ht="15.75" customHeight="1">
      <c r="C969" s="88"/>
    </row>
    <row r="970" spans="3:3" ht="15.75" customHeight="1">
      <c r="C970" s="88"/>
    </row>
    <row r="971" spans="3:3" ht="15.75" customHeight="1">
      <c r="C971" s="88"/>
    </row>
    <row r="972" spans="3:3" ht="15.75" customHeight="1">
      <c r="C972" s="88"/>
    </row>
    <row r="973" spans="3:3" ht="15.75" customHeight="1">
      <c r="C973" s="88"/>
    </row>
    <row r="974" spans="3:3" ht="15.75" customHeight="1">
      <c r="C974" s="88"/>
    </row>
    <row r="975" spans="3:3" ht="15.75" customHeight="1">
      <c r="C975" s="88"/>
    </row>
    <row r="976" spans="3:3" ht="15.75" customHeight="1">
      <c r="C976" s="88"/>
    </row>
    <row r="977" spans="3:3" ht="15.75" customHeight="1">
      <c r="C977" s="88"/>
    </row>
    <row r="978" spans="3:3" ht="15.75" customHeight="1">
      <c r="C978" s="88"/>
    </row>
    <row r="979" spans="3:3" ht="15.75" customHeight="1">
      <c r="C979" s="88"/>
    </row>
    <row r="980" spans="3:3" ht="15.75" customHeight="1">
      <c r="C980" s="88"/>
    </row>
    <row r="981" spans="3:3" ht="15.75" customHeight="1">
      <c r="C981" s="88"/>
    </row>
    <row r="982" spans="3:3" ht="15.75" customHeight="1">
      <c r="C982" s="88"/>
    </row>
    <row r="983" spans="3:3" ht="15.75" customHeight="1">
      <c r="C983" s="88"/>
    </row>
    <row r="984" spans="3:3" ht="15.75" customHeight="1">
      <c r="C984" s="88"/>
    </row>
    <row r="985" spans="3:3" ht="15.75" customHeight="1">
      <c r="C985" s="88"/>
    </row>
    <row r="986" spans="3:3" ht="15.75" customHeight="1">
      <c r="C986" s="88"/>
    </row>
    <row r="987" spans="3:3" ht="15.75" customHeight="1">
      <c r="C987" s="88"/>
    </row>
    <row r="988" spans="3:3" ht="15.75" customHeight="1">
      <c r="C988" s="88"/>
    </row>
    <row r="989" spans="3:3" ht="15.75" customHeight="1">
      <c r="C989" s="88"/>
    </row>
    <row r="990" spans="3:3" ht="15.75" customHeight="1">
      <c r="C990" s="88"/>
    </row>
    <row r="991" spans="3:3" ht="15.75" customHeight="1">
      <c r="C991" s="88"/>
    </row>
    <row r="992" spans="3:3" ht="15.75" customHeight="1">
      <c r="C992" s="88"/>
    </row>
    <row r="993" spans="3:3" ht="15.75" customHeight="1">
      <c r="C993" s="88"/>
    </row>
    <row r="994" spans="3:3" ht="15.75" customHeight="1">
      <c r="C994" s="88"/>
    </row>
    <row r="995" spans="3:3" ht="15.75" customHeight="1">
      <c r="C995" s="88"/>
    </row>
    <row r="996" spans="3:3" ht="15.75" customHeight="1">
      <c r="C996" s="88"/>
    </row>
    <row r="997" spans="3:3" ht="15.75" customHeight="1">
      <c r="C997" s="88"/>
    </row>
    <row r="998" spans="3:3" ht="15.75" customHeight="1">
      <c r="C998" s="88"/>
    </row>
  </sheetData>
  <mergeCells count="26">
    <mergeCell ref="I261:I262"/>
    <mergeCell ref="E326:E327"/>
    <mergeCell ref="E341:E342"/>
    <mergeCell ref="E353:E354"/>
    <mergeCell ref="C261:C262"/>
    <mergeCell ref="E261:E262"/>
    <mergeCell ref="E252:E253"/>
    <mergeCell ref="C236:C237"/>
    <mergeCell ref="E236:E237"/>
    <mergeCell ref="C221:C222"/>
    <mergeCell ref="E221:E222"/>
    <mergeCell ref="A172:A173"/>
    <mergeCell ref="C172:C173"/>
    <mergeCell ref="E172:E173"/>
    <mergeCell ref="A124:A125"/>
    <mergeCell ref="C124:C125"/>
    <mergeCell ref="E124:E125"/>
    <mergeCell ref="A4:A5"/>
    <mergeCell ref="C4:C5"/>
    <mergeCell ref="E4:E5"/>
    <mergeCell ref="A72:A73"/>
    <mergeCell ref="C72:C73"/>
    <mergeCell ref="E72:E73"/>
    <mergeCell ref="A37:A38"/>
    <mergeCell ref="C37:C38"/>
    <mergeCell ref="E37:E38"/>
  </mergeCells>
  <pageMargins left="0.70866141732283472" right="0.70866141732283472" top="0.74803149606299213" bottom="0.74803149606299213" header="0" footer="0"/>
  <pageSetup paperSize="9" fitToHeight="0" orientation="landscape" r:id="rId1"/>
  <headerFooter>
    <oddHeader>&amp;R860000CIERRE PRESUPUESTARIO PROVISIONAL SEPTIEMBRE 2017 - PRESUPUESTO  2018000000 000000HOJA &amp;P/</oddHeader>
    <oddFooter>&amp;R860000C.O.A.L.Z. COLEGIO OFICIAL DE ARQUITECTOS DE LANZAROTE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2025-presupuesto</vt:lpstr>
      <vt:lpstr>Hoja1</vt:lpstr>
      <vt:lpstr>2021-códigos</vt:lpstr>
      <vt:lpstr>00</vt:lpstr>
      <vt:lpstr>'2025-presupuesto'!Área_de_impresión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fontes</dc:creator>
  <cp:lastModifiedBy>user01</cp:lastModifiedBy>
  <cp:lastPrinted>2025-11-11T10:29:00Z</cp:lastPrinted>
  <dcterms:created xsi:type="dcterms:W3CDTF">2019-01-22T06:51:04Z</dcterms:created>
  <dcterms:modified xsi:type="dcterms:W3CDTF">2026-04-23T08:57:05Z</dcterms:modified>
</cp:coreProperties>
</file>